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480" yWindow="345" windowWidth="11235" windowHeight="516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Cap_Exp" localSheetId="0">Sheet1!$E$15</definedName>
    <definedName name="Dep_Rate">Sheet1!$E$32</definedName>
    <definedName name="EBITDA">Sheet1!$E$13</definedName>
    <definedName name="EBITDA_Sensitivity_Factor">Sheet1!$E$21</definedName>
    <definedName name="EV_EBITDA">Sheet1!$E$8</definedName>
    <definedName name="Exit_EV_EBITDA">Sheet1!$E$28</definedName>
    <definedName name="Growth_in_Cap_Exp">Sheet1!$E$19</definedName>
    <definedName name="Holding_Period">Sheet1!$E$26</definedName>
    <definedName name="Interest_Rate_on_Senior_Debt">Sheet1!$E$23</definedName>
    <definedName name="Interest_Rate_on_Sub_Debt">Sheet1!$E$24</definedName>
    <definedName name="Senior_Debt_EBITDA">Sheet1!$E$10</definedName>
    <definedName name="Sub_Debt_EBITDA">Sheet1!$E$11</definedName>
    <definedName name="Tax_Rate" localSheetId="0">Sheet1!$E$31</definedName>
    <definedName name="Working_Capital_to_EBITDA">Sheet1!$E$30</definedName>
  </definedNames>
  <calcPr calcId="125725" iterate="1"/>
</workbook>
</file>

<file path=xl/calcChain.xml><?xml version="1.0" encoding="utf-8"?>
<calcChain xmlns="http://schemas.openxmlformats.org/spreadsheetml/2006/main">
  <c r="F194" i="1"/>
  <c r="F195" s="1"/>
  <c r="F196" s="1"/>
  <c r="F197" s="1"/>
  <c r="F198" s="1"/>
  <c r="F199" s="1"/>
  <c r="F200" s="1"/>
  <c r="F201" s="1"/>
  <c r="F202" s="1"/>
  <c r="F203" s="1"/>
  <c r="F204" s="1"/>
  <c r="F205" s="1"/>
  <c r="F206" s="1"/>
  <c r="F207" s="1"/>
  <c r="F208" s="1"/>
  <c r="F209" s="1"/>
  <c r="F210" s="1"/>
  <c r="F211" s="1"/>
  <c r="F212" s="1"/>
  <c r="F213" s="1"/>
  <c r="F214" s="1"/>
  <c r="F215" s="1"/>
  <c r="F216" s="1"/>
  <c r="F217" s="1"/>
  <c r="F218" s="1"/>
  <c r="F219" s="1"/>
  <c r="F220" s="1"/>
  <c r="F221" s="1"/>
  <c r="F222" s="1"/>
  <c r="F223" s="1"/>
  <c r="F224" s="1"/>
  <c r="F225" s="1"/>
  <c r="F226" s="1"/>
  <c r="F227" s="1"/>
  <c r="F228" s="1"/>
  <c r="F229" s="1"/>
  <c r="F230" s="1"/>
  <c r="F231" s="1"/>
  <c r="F232" s="1"/>
  <c r="F233" s="1"/>
  <c r="F234" s="1"/>
  <c r="F235" s="1"/>
  <c r="F236" s="1"/>
  <c r="F237" s="1"/>
  <c r="F238" s="1"/>
  <c r="F239" s="1"/>
  <c r="F240" s="1"/>
  <c r="F241" s="1"/>
  <c r="F193"/>
  <c r="F192"/>
  <c r="H185"/>
  <c r="G185"/>
  <c r="G186" s="1"/>
  <c r="G183"/>
  <c r="J181"/>
  <c r="E119"/>
  <c r="F117" s="1"/>
  <c r="Y113"/>
  <c r="X113"/>
  <c r="W113"/>
  <c r="V113"/>
  <c r="U113"/>
  <c r="T113"/>
  <c r="S113"/>
  <c r="R113"/>
  <c r="Q113"/>
  <c r="P113"/>
  <c r="O113"/>
  <c r="N113"/>
  <c r="M113"/>
  <c r="L113"/>
  <c r="K113"/>
  <c r="J113"/>
  <c r="I113"/>
  <c r="H113"/>
  <c r="G113"/>
  <c r="F113"/>
  <c r="Y102"/>
  <c r="X102"/>
  <c r="W102"/>
  <c r="V102"/>
  <c r="U102"/>
  <c r="T102"/>
  <c r="S102"/>
  <c r="R102"/>
  <c r="Q102"/>
  <c r="P102"/>
  <c r="O102"/>
  <c r="N102"/>
  <c r="M102"/>
  <c r="L102"/>
  <c r="K102"/>
  <c r="J102"/>
  <c r="I102"/>
  <c r="H102"/>
  <c r="G102"/>
  <c r="F102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E68"/>
  <c r="E103" s="1"/>
  <c r="E59"/>
  <c r="E75" s="1"/>
  <c r="E94" s="1"/>
  <c r="F92" s="1"/>
  <c r="E58"/>
  <c r="E74" s="1"/>
  <c r="E86" s="1"/>
  <c r="F84" s="1"/>
  <c r="E55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F46"/>
  <c r="G46" s="1"/>
  <c r="H46" s="1"/>
  <c r="I46" s="1"/>
  <c r="J46" s="1"/>
  <c r="K46" s="1"/>
  <c r="L46" s="1"/>
  <c r="M46" s="1"/>
  <c r="N46" s="1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K40"/>
  <c r="L40" s="1"/>
  <c r="M40" s="1"/>
  <c r="N40" s="1"/>
  <c r="O40" s="1"/>
  <c r="J40"/>
  <c r="F40"/>
  <c r="G40" s="1"/>
  <c r="H40" s="1"/>
  <c r="I40" s="1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H41" s="1"/>
  <c r="G39"/>
  <c r="F39"/>
  <c r="F41" s="1"/>
  <c r="E39"/>
  <c r="G37"/>
  <c r="I35"/>
  <c r="H35"/>
  <c r="H37" s="1"/>
  <c r="G35"/>
  <c r="G36" s="1"/>
  <c r="F35"/>
  <c r="F37" s="1"/>
  <c r="K33"/>
  <c r="F89" l="1"/>
  <c r="O46"/>
  <c r="F142"/>
  <c r="F127"/>
  <c r="O41"/>
  <c r="P40"/>
  <c r="J35"/>
  <c r="I37"/>
  <c r="E69"/>
  <c r="E111" s="1"/>
  <c r="F109" s="1"/>
  <c r="E60"/>
  <c r="L41"/>
  <c r="K41"/>
  <c r="I36"/>
  <c r="I47" s="1"/>
  <c r="J41"/>
  <c r="N41"/>
  <c r="G41"/>
  <c r="G47"/>
  <c r="F97"/>
  <c r="H36"/>
  <c r="H47" s="1"/>
  <c r="I41"/>
  <c r="M41"/>
  <c r="E71"/>
  <c r="F36"/>
  <c r="F47" s="1"/>
  <c r="K32"/>
  <c r="H139" l="1"/>
  <c r="H110"/>
  <c r="I139"/>
  <c r="I110"/>
  <c r="G139"/>
  <c r="G110"/>
  <c r="Q40"/>
  <c r="P41"/>
  <c r="P46"/>
  <c r="F146"/>
  <c r="F128"/>
  <c r="E151"/>
  <c r="E76"/>
  <c r="E77" s="1"/>
  <c r="E79" s="1"/>
  <c r="E61"/>
  <c r="E63" s="1"/>
  <c r="F110"/>
  <c r="F139"/>
  <c r="J37"/>
  <c r="J36"/>
  <c r="J47" s="1"/>
  <c r="K35"/>
  <c r="F111"/>
  <c r="G109" s="1"/>
  <c r="F114"/>
  <c r="J32"/>
  <c r="J33" s="1"/>
  <c r="J34" s="1"/>
  <c r="E21"/>
  <c r="K9"/>
  <c r="G181" l="1"/>
  <c r="Y42"/>
  <c r="U42"/>
  <c r="Q42"/>
  <c r="M42"/>
  <c r="I42"/>
  <c r="I43" s="1"/>
  <c r="T42"/>
  <c r="O42"/>
  <c r="J42"/>
  <c r="J43" s="1"/>
  <c r="V42"/>
  <c r="P42"/>
  <c r="K42"/>
  <c r="F42"/>
  <c r="F43" s="1"/>
  <c r="R42"/>
  <c r="G42"/>
  <c r="G43" s="1"/>
  <c r="S42"/>
  <c r="H42"/>
  <c r="H43" s="1"/>
  <c r="W42"/>
  <c r="L42"/>
  <c r="X42"/>
  <c r="N42"/>
  <c r="Q46"/>
  <c r="G111"/>
  <c r="H109" s="1"/>
  <c r="G114"/>
  <c r="J110"/>
  <c r="J139"/>
  <c r="R40"/>
  <c r="Q41"/>
  <c r="F118"/>
  <c r="F119" s="1"/>
  <c r="G117" s="1"/>
  <c r="F125"/>
  <c r="K36"/>
  <c r="K47" s="1"/>
  <c r="L35"/>
  <c r="K37"/>
  <c r="M35" l="1"/>
  <c r="L36"/>
  <c r="L47" s="1"/>
  <c r="L37"/>
  <c r="G118"/>
  <c r="G125"/>
  <c r="H124"/>
  <c r="H101"/>
  <c r="H103" s="1"/>
  <c r="H50"/>
  <c r="H140" s="1"/>
  <c r="F101"/>
  <c r="F103" s="1"/>
  <c r="F105" s="1"/>
  <c r="F137" s="1"/>
  <c r="F124"/>
  <c r="F50"/>
  <c r="F140" s="1"/>
  <c r="J124"/>
  <c r="J101"/>
  <c r="J103" s="1"/>
  <c r="J50"/>
  <c r="J140" s="1"/>
  <c r="R46"/>
  <c r="I124"/>
  <c r="I101"/>
  <c r="I103" s="1"/>
  <c r="I105" s="1"/>
  <c r="I137" s="1"/>
  <c r="I50"/>
  <c r="I140" s="1"/>
  <c r="G101"/>
  <c r="G103" s="1"/>
  <c r="G124"/>
  <c r="G50"/>
  <c r="G140" s="1"/>
  <c r="G119"/>
  <c r="H117" s="1"/>
  <c r="K139"/>
  <c r="K110"/>
  <c r="S40"/>
  <c r="R41"/>
  <c r="H111"/>
  <c r="I109" s="1"/>
  <c r="H114"/>
  <c r="K43"/>
  <c r="J105" l="1"/>
  <c r="J137" s="1"/>
  <c r="M37"/>
  <c r="N35"/>
  <c r="M36"/>
  <c r="K101"/>
  <c r="K103" s="1"/>
  <c r="K105" s="1"/>
  <c r="K137" s="1"/>
  <c r="K124"/>
  <c r="K50"/>
  <c r="K140" s="1"/>
  <c r="T40"/>
  <c r="S41"/>
  <c r="L139"/>
  <c r="L110"/>
  <c r="S46"/>
  <c r="L43"/>
  <c r="H105"/>
  <c r="H137" s="1"/>
  <c r="H125"/>
  <c r="H118"/>
  <c r="H119" s="1"/>
  <c r="I117" s="1"/>
  <c r="G135"/>
  <c r="G126"/>
  <c r="I135"/>
  <c r="F126"/>
  <c r="F129" s="1"/>
  <c r="F135"/>
  <c r="H135"/>
  <c r="H126"/>
  <c r="I111"/>
  <c r="J109" s="1"/>
  <c r="I114"/>
  <c r="J135"/>
  <c r="G105"/>
  <c r="G137" s="1"/>
  <c r="K135" l="1"/>
  <c r="J111"/>
  <c r="K109" s="1"/>
  <c r="J114"/>
  <c r="F130"/>
  <c r="F136" s="1"/>
  <c r="F138" s="1"/>
  <c r="F141" s="1"/>
  <c r="F143" s="1"/>
  <c r="L124"/>
  <c r="L101"/>
  <c r="L103" s="1"/>
  <c r="L105" s="1"/>
  <c r="L137" s="1"/>
  <c r="L50"/>
  <c r="L140" s="1"/>
  <c r="N37"/>
  <c r="N36"/>
  <c r="O35"/>
  <c r="I118"/>
  <c r="I119" s="1"/>
  <c r="J117" s="1"/>
  <c r="I125"/>
  <c r="I126" s="1"/>
  <c r="T46"/>
  <c r="U40"/>
  <c r="T41"/>
  <c r="M47"/>
  <c r="M43"/>
  <c r="F131" l="1"/>
  <c r="F144"/>
  <c r="F85" s="1"/>
  <c r="F86" s="1"/>
  <c r="G84" s="1"/>
  <c r="M124"/>
  <c r="M101"/>
  <c r="M103" s="1"/>
  <c r="M105" s="1"/>
  <c r="M137" s="1"/>
  <c r="M50"/>
  <c r="M140" s="1"/>
  <c r="O37"/>
  <c r="O36"/>
  <c r="P35"/>
  <c r="J125"/>
  <c r="J126" s="1"/>
  <c r="J118"/>
  <c r="J119" s="1"/>
  <c r="K117" s="1"/>
  <c r="V40"/>
  <c r="U41"/>
  <c r="M139"/>
  <c r="M110"/>
  <c r="U46"/>
  <c r="N47"/>
  <c r="N43"/>
  <c r="L135"/>
  <c r="K111"/>
  <c r="L109" s="1"/>
  <c r="K114"/>
  <c r="F145" l="1"/>
  <c r="F147" s="1"/>
  <c r="F148" s="1"/>
  <c r="F93" s="1"/>
  <c r="F94" s="1"/>
  <c r="G92" s="1"/>
  <c r="L111"/>
  <c r="M109" s="1"/>
  <c r="L114"/>
  <c r="N110"/>
  <c r="N139"/>
  <c r="K118"/>
  <c r="K119" s="1"/>
  <c r="L117" s="1"/>
  <c r="K125"/>
  <c r="K126" s="1"/>
  <c r="N124"/>
  <c r="N101"/>
  <c r="N103" s="1"/>
  <c r="N105" s="1"/>
  <c r="N137" s="1"/>
  <c r="N50"/>
  <c r="N140" s="1"/>
  <c r="G89"/>
  <c r="V46"/>
  <c r="W40"/>
  <c r="V41"/>
  <c r="O47"/>
  <c r="O43"/>
  <c r="M135"/>
  <c r="P37"/>
  <c r="P36"/>
  <c r="Q35"/>
  <c r="F149" l="1"/>
  <c r="F151" s="1"/>
  <c r="R35"/>
  <c r="Q37"/>
  <c r="Q36"/>
  <c r="X40"/>
  <c r="W41"/>
  <c r="G142"/>
  <c r="G127"/>
  <c r="N135"/>
  <c r="M111"/>
  <c r="N109" s="1"/>
  <c r="M114"/>
  <c r="O139"/>
  <c r="O110"/>
  <c r="W46"/>
  <c r="G97"/>
  <c r="L125"/>
  <c r="L126" s="1"/>
  <c r="L118"/>
  <c r="L119" s="1"/>
  <c r="M117" s="1"/>
  <c r="P43"/>
  <c r="P47"/>
  <c r="O101"/>
  <c r="O103" s="1"/>
  <c r="O105" s="1"/>
  <c r="O137" s="1"/>
  <c r="O124"/>
  <c r="O50"/>
  <c r="O140" s="1"/>
  <c r="O135" l="1"/>
  <c r="Y40"/>
  <c r="Y41" s="1"/>
  <c r="X41"/>
  <c r="P124"/>
  <c r="P50"/>
  <c r="P140" s="1"/>
  <c r="P101"/>
  <c r="P103" s="1"/>
  <c r="P105" s="1"/>
  <c r="P137" s="1"/>
  <c r="G128"/>
  <c r="G129" s="1"/>
  <c r="G146"/>
  <c r="R37"/>
  <c r="R36"/>
  <c r="S35"/>
  <c r="P139"/>
  <c r="P110"/>
  <c r="X46"/>
  <c r="N111"/>
  <c r="O109" s="1"/>
  <c r="N114"/>
  <c r="M118"/>
  <c r="M119" s="1"/>
  <c r="N117" s="1"/>
  <c r="M125"/>
  <c r="M126" s="1"/>
  <c r="Q47"/>
  <c r="Q43"/>
  <c r="G130" l="1"/>
  <c r="G136" s="1"/>
  <c r="G138" s="1"/>
  <c r="G141" s="1"/>
  <c r="G143" s="1"/>
  <c r="Y46"/>
  <c r="R47"/>
  <c r="R43"/>
  <c r="S37"/>
  <c r="S36"/>
  <c r="T35"/>
  <c r="Q110"/>
  <c r="Q139"/>
  <c r="O111"/>
  <c r="P109" s="1"/>
  <c r="O114"/>
  <c r="P135"/>
  <c r="Q124"/>
  <c r="Q101"/>
  <c r="Q103" s="1"/>
  <c r="Q105" s="1"/>
  <c r="Q137" s="1"/>
  <c r="Q50"/>
  <c r="Q140" s="1"/>
  <c r="N125"/>
  <c r="N126" s="1"/>
  <c r="N118"/>
  <c r="N119" s="1"/>
  <c r="O117" s="1"/>
  <c r="G131" l="1"/>
  <c r="Q135"/>
  <c r="P114"/>
  <c r="P111"/>
  <c r="Q109" s="1"/>
  <c r="S47"/>
  <c r="S43"/>
  <c r="O125"/>
  <c r="O126" s="1"/>
  <c r="O118"/>
  <c r="O119" s="1"/>
  <c r="P117" s="1"/>
  <c r="T37"/>
  <c r="U35"/>
  <c r="T36"/>
  <c r="R110"/>
  <c r="R139"/>
  <c r="G144"/>
  <c r="G85" s="1"/>
  <c r="G86" s="1"/>
  <c r="H84" s="1"/>
  <c r="R124"/>
  <c r="R101"/>
  <c r="R103" s="1"/>
  <c r="R105" s="1"/>
  <c r="R137" s="1"/>
  <c r="R50"/>
  <c r="R140" s="1"/>
  <c r="G145" l="1"/>
  <c r="G147" s="1"/>
  <c r="S139"/>
  <c r="S110"/>
  <c r="S101"/>
  <c r="S103" s="1"/>
  <c r="S105" s="1"/>
  <c r="S137" s="1"/>
  <c r="S124"/>
  <c r="S50"/>
  <c r="S140" s="1"/>
  <c r="R135"/>
  <c r="Q111"/>
  <c r="R109" s="1"/>
  <c r="Q114"/>
  <c r="G149"/>
  <c r="G151" s="1"/>
  <c r="G148"/>
  <c r="G93" s="1"/>
  <c r="G94" s="1"/>
  <c r="H92" s="1"/>
  <c r="V35"/>
  <c r="U37"/>
  <c r="U36"/>
  <c r="H89"/>
  <c r="T47"/>
  <c r="T43"/>
  <c r="P125"/>
  <c r="P126" s="1"/>
  <c r="P118"/>
  <c r="P119" s="1"/>
  <c r="Q117" s="1"/>
  <c r="Q119" l="1"/>
  <c r="R117" s="1"/>
  <c r="T139"/>
  <c r="T110"/>
  <c r="Q118"/>
  <c r="Q125"/>
  <c r="Q126" s="1"/>
  <c r="T124"/>
  <c r="T101"/>
  <c r="T103" s="1"/>
  <c r="T105" s="1"/>
  <c r="T137" s="1"/>
  <c r="T50"/>
  <c r="T140" s="1"/>
  <c r="U47"/>
  <c r="U43"/>
  <c r="H142"/>
  <c r="H127"/>
  <c r="V37"/>
  <c r="V36"/>
  <c r="W35"/>
  <c r="R111"/>
  <c r="S109" s="1"/>
  <c r="R114"/>
  <c r="S135"/>
  <c r="H97"/>
  <c r="H146" l="1"/>
  <c r="H128"/>
  <c r="R118"/>
  <c r="R125"/>
  <c r="R126" s="1"/>
  <c r="U139"/>
  <c r="U110"/>
  <c r="R119"/>
  <c r="S117" s="1"/>
  <c r="V47"/>
  <c r="V43"/>
  <c r="U124"/>
  <c r="U101"/>
  <c r="U103" s="1"/>
  <c r="U105" s="1"/>
  <c r="U137" s="1"/>
  <c r="U50"/>
  <c r="U140" s="1"/>
  <c r="T135"/>
  <c r="W36"/>
  <c r="X35"/>
  <c r="W37"/>
  <c r="S111"/>
  <c r="T109" s="1"/>
  <c r="S114"/>
  <c r="H129"/>
  <c r="W47" l="1"/>
  <c r="W43"/>
  <c r="H130"/>
  <c r="H136" s="1"/>
  <c r="H138" s="1"/>
  <c r="H141" s="1"/>
  <c r="H143" s="1"/>
  <c r="V124"/>
  <c r="V101"/>
  <c r="V103" s="1"/>
  <c r="V105" s="1"/>
  <c r="V137" s="1"/>
  <c r="V50"/>
  <c r="V140" s="1"/>
  <c r="S125"/>
  <c r="S126" s="1"/>
  <c r="S118"/>
  <c r="S119" s="1"/>
  <c r="T117" s="1"/>
  <c r="X37"/>
  <c r="X36"/>
  <c r="Y35"/>
  <c r="V110"/>
  <c r="V139"/>
  <c r="T114"/>
  <c r="T111"/>
  <c r="U109" s="1"/>
  <c r="U135"/>
  <c r="H131" l="1"/>
  <c r="U111"/>
  <c r="V109" s="1"/>
  <c r="U114"/>
  <c r="W101"/>
  <c r="W103" s="1"/>
  <c r="W105" s="1"/>
  <c r="W137" s="1"/>
  <c r="W124"/>
  <c r="W50"/>
  <c r="W140" s="1"/>
  <c r="T125"/>
  <c r="T126" s="1"/>
  <c r="T118"/>
  <c r="T119" s="1"/>
  <c r="U117" s="1"/>
  <c r="X47"/>
  <c r="X43"/>
  <c r="V135"/>
  <c r="W139"/>
  <c r="W110"/>
  <c r="Y37"/>
  <c r="Y36"/>
  <c r="H144"/>
  <c r="H85" s="1"/>
  <c r="H86" s="1"/>
  <c r="I84" s="1"/>
  <c r="H145" l="1"/>
  <c r="H147" s="1"/>
  <c r="H149" s="1"/>
  <c r="H151" s="1"/>
  <c r="H148"/>
  <c r="H93" s="1"/>
  <c r="H94" s="1"/>
  <c r="I92" s="1"/>
  <c r="V111"/>
  <c r="W109" s="1"/>
  <c r="V114"/>
  <c r="I89"/>
  <c r="U118"/>
  <c r="U125"/>
  <c r="U126" s="1"/>
  <c r="U119"/>
  <c r="V117" s="1"/>
  <c r="Y43"/>
  <c r="Y47"/>
  <c r="X139"/>
  <c r="X110"/>
  <c r="W135"/>
  <c r="X124"/>
  <c r="X101"/>
  <c r="X103" s="1"/>
  <c r="X105" s="1"/>
  <c r="X137" s="1"/>
  <c r="X50"/>
  <c r="X140" s="1"/>
  <c r="I142" l="1"/>
  <c r="I127"/>
  <c r="Y124"/>
  <c r="Y101"/>
  <c r="Y103" s="1"/>
  <c r="Y105" s="1"/>
  <c r="Y137" s="1"/>
  <c r="Y50"/>
  <c r="Y140" s="1"/>
  <c r="W111"/>
  <c r="X109" s="1"/>
  <c r="W114"/>
  <c r="X135"/>
  <c r="I97"/>
  <c r="Y139"/>
  <c r="Y110"/>
  <c r="V118"/>
  <c r="V119" s="1"/>
  <c r="W117" s="1"/>
  <c r="V125"/>
  <c r="V126" s="1"/>
  <c r="X111" l="1"/>
  <c r="Y109" s="1"/>
  <c r="X114"/>
  <c r="W118"/>
  <c r="W119" s="1"/>
  <c r="X117" s="1"/>
  <c r="W125"/>
  <c r="W126" s="1"/>
  <c r="Y135"/>
  <c r="I128"/>
  <c r="I129" s="1"/>
  <c r="I146"/>
  <c r="I130" l="1"/>
  <c r="I136" s="1"/>
  <c r="I138" s="1"/>
  <c r="I141" s="1"/>
  <c r="I143" s="1"/>
  <c r="Y111"/>
  <c r="Y114"/>
  <c r="X125"/>
  <c r="X126" s="1"/>
  <c r="X118"/>
  <c r="X119" s="1"/>
  <c r="Y117" s="1"/>
  <c r="I144" l="1"/>
  <c r="I85" s="1"/>
  <c r="I86" s="1"/>
  <c r="J84" s="1"/>
  <c r="Y118"/>
  <c r="Y119" s="1"/>
  <c r="Y125"/>
  <c r="Y126" s="1"/>
  <c r="I131"/>
  <c r="I145" l="1"/>
  <c r="I147" s="1"/>
  <c r="I148" s="1"/>
  <c r="I93" s="1"/>
  <c r="I94" s="1"/>
  <c r="J92" s="1"/>
  <c r="J89"/>
  <c r="J127" l="1"/>
  <c r="J142"/>
  <c r="J97"/>
  <c r="I149"/>
  <c r="I151" s="1"/>
  <c r="J128" l="1"/>
  <c r="J129" s="1"/>
  <c r="J146"/>
  <c r="J130" l="1"/>
  <c r="J136" s="1"/>
  <c r="J138" s="1"/>
  <c r="J141" s="1"/>
  <c r="J143" s="1"/>
  <c r="J144" l="1"/>
  <c r="J85" s="1"/>
  <c r="J86" s="1"/>
  <c r="K84" s="1"/>
  <c r="J131"/>
  <c r="K89" l="1"/>
  <c r="J145"/>
  <c r="J147" s="1"/>
  <c r="K142" l="1"/>
  <c r="K127"/>
  <c r="J148"/>
  <c r="J93" s="1"/>
  <c r="J94" s="1"/>
  <c r="K92" s="1"/>
  <c r="J149" l="1"/>
  <c r="J151" s="1"/>
  <c r="K97"/>
  <c r="K146" l="1"/>
  <c r="K128"/>
  <c r="K129" s="1"/>
  <c r="K130" l="1"/>
  <c r="K136" s="1"/>
  <c r="K138" s="1"/>
  <c r="K141" s="1"/>
  <c r="K143" s="1"/>
  <c r="K131" l="1"/>
  <c r="K144"/>
  <c r="K85" s="1"/>
  <c r="K86" s="1"/>
  <c r="L84" s="1"/>
  <c r="K145" l="1"/>
  <c r="K147" s="1"/>
  <c r="K148" s="1"/>
  <c r="K93" s="1"/>
  <c r="K94" s="1"/>
  <c r="L92" s="1"/>
  <c r="L89"/>
  <c r="L97" l="1"/>
  <c r="K149"/>
  <c r="K151" s="1"/>
  <c r="L142"/>
  <c r="L127"/>
  <c r="L146" l="1"/>
  <c r="L128"/>
  <c r="L129" s="1"/>
  <c r="L130" l="1"/>
  <c r="L136" s="1"/>
  <c r="L138" s="1"/>
  <c r="L141" s="1"/>
  <c r="L143" s="1"/>
  <c r="L144" l="1"/>
  <c r="L85" s="1"/>
  <c r="L86" s="1"/>
  <c r="M84" s="1"/>
  <c r="L131"/>
  <c r="M89" l="1"/>
  <c r="L145"/>
  <c r="L147" s="1"/>
  <c r="M142" l="1"/>
  <c r="M127"/>
  <c r="L148"/>
  <c r="L93" s="1"/>
  <c r="L94" s="1"/>
  <c r="M92" s="1"/>
  <c r="L149" l="1"/>
  <c r="L151" s="1"/>
  <c r="M97"/>
  <c r="M128" l="1"/>
  <c r="M129" s="1"/>
  <c r="M146"/>
  <c r="M130" l="1"/>
  <c r="M136" s="1"/>
  <c r="M138" s="1"/>
  <c r="M141" s="1"/>
  <c r="M143" s="1"/>
  <c r="M131" l="1"/>
  <c r="M144"/>
  <c r="M85" s="1"/>
  <c r="M86" s="1"/>
  <c r="N84" s="1"/>
  <c r="M145" l="1"/>
  <c r="M147" s="1"/>
  <c r="M148" s="1"/>
  <c r="M93" s="1"/>
  <c r="M94" s="1"/>
  <c r="N92" s="1"/>
  <c r="N89"/>
  <c r="M149" l="1"/>
  <c r="M151" s="1"/>
  <c r="N142"/>
  <c r="N127"/>
  <c r="N97"/>
  <c r="N128" l="1"/>
  <c r="N129" s="1"/>
  <c r="N146"/>
  <c r="N130" l="1"/>
  <c r="N136" s="1"/>
  <c r="N138" s="1"/>
  <c r="N141" s="1"/>
  <c r="N143" s="1"/>
  <c r="N131" l="1"/>
  <c r="N144"/>
  <c r="N85" s="1"/>
  <c r="N86" s="1"/>
  <c r="O84" s="1"/>
  <c r="N145" l="1"/>
  <c r="N147" s="1"/>
  <c r="O89"/>
  <c r="N148" l="1"/>
  <c r="N93" s="1"/>
  <c r="N94" s="1"/>
  <c r="O92" s="1"/>
  <c r="O142"/>
  <c r="O127"/>
  <c r="O97" l="1"/>
  <c r="N149"/>
  <c r="N151" s="1"/>
  <c r="O128" l="1"/>
  <c r="O129" s="1"/>
  <c r="O146"/>
  <c r="O130" l="1"/>
  <c r="O136" s="1"/>
  <c r="O138" s="1"/>
  <c r="O141" s="1"/>
  <c r="O143" s="1"/>
  <c r="O131" l="1"/>
  <c r="O144"/>
  <c r="O85" s="1"/>
  <c r="O86" s="1"/>
  <c r="P84" s="1"/>
  <c r="O145" l="1"/>
  <c r="O147" s="1"/>
  <c r="O148"/>
  <c r="O93" s="1"/>
  <c r="O94" s="1"/>
  <c r="P92" s="1"/>
  <c r="P89"/>
  <c r="O149" l="1"/>
  <c r="O151" s="1"/>
  <c r="P97"/>
  <c r="P142"/>
  <c r="P127"/>
  <c r="P146" l="1"/>
  <c r="P128"/>
  <c r="P129" s="1"/>
  <c r="P130" l="1"/>
  <c r="P136" s="1"/>
  <c r="P138" s="1"/>
  <c r="P141" s="1"/>
  <c r="P143" s="1"/>
  <c r="P131" l="1"/>
  <c r="P144"/>
  <c r="P85" s="1"/>
  <c r="P86" s="1"/>
  <c r="Q84" s="1"/>
  <c r="P145" l="1"/>
  <c r="P147" s="1"/>
  <c r="P148" s="1"/>
  <c r="P93" s="1"/>
  <c r="P94" s="1"/>
  <c r="Q92" s="1"/>
  <c r="Q89"/>
  <c r="P149" l="1"/>
  <c r="P151" s="1"/>
  <c r="Q97"/>
  <c r="Q142"/>
  <c r="Q127"/>
  <c r="Q146" l="1"/>
  <c r="Q128"/>
  <c r="Q129" s="1"/>
  <c r="Q130" l="1"/>
  <c r="Q136" s="1"/>
  <c r="Q138" s="1"/>
  <c r="Q141" s="1"/>
  <c r="Q143" s="1"/>
  <c r="Q131" l="1"/>
  <c r="Q144"/>
  <c r="Q85" s="1"/>
  <c r="Q86" s="1"/>
  <c r="R84" s="1"/>
  <c r="Q145" l="1"/>
  <c r="Q147" s="1"/>
  <c r="Q148" s="1"/>
  <c r="Q93" s="1"/>
  <c r="Q94" s="1"/>
  <c r="R92" s="1"/>
  <c r="R89"/>
  <c r="Q149" l="1"/>
  <c r="Q151" s="1"/>
  <c r="R142"/>
  <c r="R127"/>
  <c r="R97"/>
  <c r="R128" l="1"/>
  <c r="R129" s="1"/>
  <c r="R146"/>
  <c r="R130" l="1"/>
  <c r="R136" s="1"/>
  <c r="R138" s="1"/>
  <c r="R141" s="1"/>
  <c r="R143" s="1"/>
  <c r="R131" l="1"/>
  <c r="R144"/>
  <c r="R85" s="1"/>
  <c r="R86" s="1"/>
  <c r="S84" s="1"/>
  <c r="R145" l="1"/>
  <c r="R147" s="1"/>
  <c r="R149" s="1"/>
  <c r="R151" s="1"/>
  <c r="R148"/>
  <c r="R93" s="1"/>
  <c r="R94" s="1"/>
  <c r="S92" s="1"/>
  <c r="S89"/>
  <c r="S97" l="1"/>
  <c r="S142"/>
  <c r="S127"/>
  <c r="S128" l="1"/>
  <c r="S129" s="1"/>
  <c r="S146"/>
  <c r="S130" l="1"/>
  <c r="S136" s="1"/>
  <c r="S138" s="1"/>
  <c r="S141" s="1"/>
  <c r="S143" s="1"/>
  <c r="S144" l="1"/>
  <c r="S85" s="1"/>
  <c r="S86" s="1"/>
  <c r="T84" s="1"/>
  <c r="S131"/>
  <c r="T89" l="1"/>
  <c r="S145"/>
  <c r="S147" s="1"/>
  <c r="T142" l="1"/>
  <c r="T127"/>
  <c r="S148"/>
  <c r="S93" s="1"/>
  <c r="S94" s="1"/>
  <c r="T92" s="1"/>
  <c r="T97" l="1"/>
  <c r="S149"/>
  <c r="S151" s="1"/>
  <c r="T146" l="1"/>
  <c r="T128"/>
  <c r="T129" s="1"/>
  <c r="T130" l="1"/>
  <c r="T136" s="1"/>
  <c r="T138" s="1"/>
  <c r="T141" s="1"/>
  <c r="T143" s="1"/>
  <c r="T131" l="1"/>
  <c r="T144"/>
  <c r="T85" s="1"/>
  <c r="T86" s="1"/>
  <c r="U84" s="1"/>
  <c r="U89" l="1"/>
  <c r="T145"/>
  <c r="T147" s="1"/>
  <c r="U127" l="1"/>
  <c r="U142"/>
  <c r="T148"/>
  <c r="T93" s="1"/>
  <c r="T94" s="1"/>
  <c r="U92" s="1"/>
  <c r="T149" l="1"/>
  <c r="T151" s="1"/>
  <c r="U97"/>
  <c r="U128" l="1"/>
  <c r="U129" s="1"/>
  <c r="U146"/>
  <c r="U130" l="1"/>
  <c r="U136" s="1"/>
  <c r="U138" s="1"/>
  <c r="U141" s="1"/>
  <c r="U143" s="1"/>
  <c r="U144" l="1"/>
  <c r="U85" s="1"/>
  <c r="U86" s="1"/>
  <c r="V84" s="1"/>
  <c r="U131"/>
  <c r="U145" l="1"/>
  <c r="U147" s="1"/>
  <c r="U148" s="1"/>
  <c r="U93" s="1"/>
  <c r="U94" s="1"/>
  <c r="V92" s="1"/>
  <c r="V89"/>
  <c r="U149" l="1"/>
  <c r="U151" s="1"/>
  <c r="V97"/>
  <c r="V142"/>
  <c r="V127"/>
  <c r="V146" l="1"/>
  <c r="V128"/>
  <c r="V129" s="1"/>
  <c r="V130" l="1"/>
  <c r="V136" s="1"/>
  <c r="V138" s="1"/>
  <c r="V141" s="1"/>
  <c r="V143" s="1"/>
  <c r="V131" l="1"/>
  <c r="V144"/>
  <c r="V85" s="1"/>
  <c r="V86" s="1"/>
  <c r="W84" s="1"/>
  <c r="V145" l="1"/>
  <c r="V147" s="1"/>
  <c r="W89"/>
  <c r="W142" l="1"/>
  <c r="W127"/>
  <c r="V149"/>
  <c r="V151" s="1"/>
  <c r="V148"/>
  <c r="V93" s="1"/>
  <c r="V94" s="1"/>
  <c r="W92" s="1"/>
  <c r="W97" l="1"/>
  <c r="W128" l="1"/>
  <c r="W129" s="1"/>
  <c r="W146"/>
  <c r="W130" l="1"/>
  <c r="W136" s="1"/>
  <c r="W138" s="1"/>
  <c r="W141" s="1"/>
  <c r="W143" s="1"/>
  <c r="W144" l="1"/>
  <c r="W85" s="1"/>
  <c r="W86" s="1"/>
  <c r="X84" s="1"/>
  <c r="W131"/>
  <c r="W145" l="1"/>
  <c r="W147" s="1"/>
  <c r="W148" s="1"/>
  <c r="W93" s="1"/>
  <c r="W94" s="1"/>
  <c r="X92" s="1"/>
  <c r="X89"/>
  <c r="W149" l="1"/>
  <c r="W151" s="1"/>
  <c r="X97"/>
  <c r="X142"/>
  <c r="X127"/>
  <c r="X146" l="1"/>
  <c r="X128"/>
  <c r="X129" s="1"/>
  <c r="X131" l="1"/>
  <c r="X130"/>
  <c r="X136" s="1"/>
  <c r="X138" s="1"/>
  <c r="X141" s="1"/>
  <c r="X143" s="1"/>
  <c r="X145" l="1"/>
  <c r="X147" s="1"/>
  <c r="X144"/>
  <c r="X85" s="1"/>
  <c r="X86" s="1"/>
  <c r="Y84" s="1"/>
  <c r="X148" l="1"/>
  <c r="X93" s="1"/>
  <c r="X94" s="1"/>
  <c r="Y92" s="1"/>
  <c r="Y89"/>
  <c r="X149" l="1"/>
  <c r="X151" s="1"/>
  <c r="Y142"/>
  <c r="Y127"/>
  <c r="Y97"/>
  <c r="Y128" l="1"/>
  <c r="Y129" s="1"/>
  <c r="Y146"/>
  <c r="Y131" l="1"/>
  <c r="Y130"/>
  <c r="Y136" s="1"/>
  <c r="Y138" s="1"/>
  <c r="Y141" s="1"/>
  <c r="Y143" s="1"/>
  <c r="Y144" l="1"/>
  <c r="Y85" s="1"/>
  <c r="Y86" s="1"/>
  <c r="G190" s="1"/>
  <c r="Y145"/>
  <c r="Y147" s="1"/>
  <c r="Y148" l="1"/>
  <c r="Y93" s="1"/>
  <c r="Y94" s="1"/>
  <c r="Y149" l="1"/>
  <c r="Y151" s="1"/>
  <c r="E153" s="1"/>
  <c r="J21" s="1"/>
  <c r="K5" l="1"/>
</calcChain>
</file>

<file path=xl/sharedStrings.xml><?xml version="1.0" encoding="utf-8"?>
<sst xmlns="http://schemas.openxmlformats.org/spreadsheetml/2006/main" count="161" uniqueCount="114">
  <si>
    <t>Senior Debt/EBITDA</t>
  </si>
  <si>
    <t>Sub Debt/EBITDA</t>
  </si>
  <si>
    <t>EV/EBITDA</t>
  </si>
  <si>
    <t>Assumptions</t>
  </si>
  <si>
    <t>Equity IRR</t>
  </si>
  <si>
    <t>Cap Exp</t>
  </si>
  <si>
    <t>Cap Exp Gr</t>
  </si>
  <si>
    <t>EBITDA Sens</t>
  </si>
  <si>
    <t>Int Rate</t>
  </si>
  <si>
    <t>Exit EV/EBITDA</t>
  </si>
  <si>
    <t>Eq IRR</t>
  </si>
  <si>
    <t>Repay Sr</t>
  </si>
  <si>
    <t>Repay Jr</t>
  </si>
  <si>
    <t>Transaction Assumptions</t>
  </si>
  <si>
    <t>Senior Debt IRR</t>
  </si>
  <si>
    <t>Base Case</t>
  </si>
  <si>
    <t>Sub Debt IRR</t>
  </si>
  <si>
    <t>Downside</t>
  </si>
  <si>
    <t>Upside Case</t>
  </si>
  <si>
    <t>Break Even EBITDA Pct Senior</t>
  </si>
  <si>
    <t>Worst Case</t>
  </si>
  <si>
    <t>Break Even EBITDA Sub Debt</t>
  </si>
  <si>
    <t>Stress Case</t>
  </si>
  <si>
    <t>Time to Repay Senior Debt</t>
  </si>
  <si>
    <t>EBITDA</t>
  </si>
  <si>
    <t>Time to Repay Sub Debt</t>
  </si>
  <si>
    <t>Growth Rate in EBITDA</t>
  </si>
  <si>
    <t>Growth in Cap Exp</t>
  </si>
  <si>
    <t>EBITDA Sensitivity Factor</t>
  </si>
  <si>
    <t>Holding Period</t>
  </si>
  <si>
    <t>Interest Rate on Senior Debt</t>
  </si>
  <si>
    <t>Interest Rate on Sub Debt</t>
  </si>
  <si>
    <t>Working Capital to EBITDA</t>
  </si>
  <si>
    <t>Tax Rate</t>
  </si>
  <si>
    <t>Dep Rate</t>
  </si>
  <si>
    <t>Max</t>
  </si>
  <si>
    <t>Match</t>
  </si>
  <si>
    <t>Working Analysis</t>
  </si>
  <si>
    <t>Opt Holding</t>
  </si>
  <si>
    <t>Period</t>
  </si>
  <si>
    <t>Exit Period</t>
  </si>
  <si>
    <t>Initial EBITDA</t>
  </si>
  <si>
    <t>Growth Index</t>
  </si>
  <si>
    <t>Base Cash EBITDA</t>
  </si>
  <si>
    <t>Senstivity Factor</t>
  </si>
  <si>
    <t>Applied EBITDA</t>
  </si>
  <si>
    <t>Total Cap Exp</t>
  </si>
  <si>
    <t>Terminal EV/EBITDA</t>
  </si>
  <si>
    <t>Terminal Proceeds</t>
  </si>
  <si>
    <t>Sources and Uses of Funds</t>
  </si>
  <si>
    <t>Uses of Funds</t>
  </si>
  <si>
    <t>Acquistion of Company</t>
  </si>
  <si>
    <t>Sources of Funds</t>
  </si>
  <si>
    <t>Senior Debt</t>
  </si>
  <si>
    <t>Sub Debt</t>
  </si>
  <si>
    <t>Equity</t>
  </si>
  <si>
    <t>Total</t>
  </si>
  <si>
    <t>Test</t>
  </si>
  <si>
    <t>Pro-Forma Balance Sheet</t>
  </si>
  <si>
    <t>Assets</t>
  </si>
  <si>
    <t>Woking Capital</t>
  </si>
  <si>
    <t>Plant Assets</t>
  </si>
  <si>
    <t>Accumulated Depreciation</t>
  </si>
  <si>
    <t>Liabilites and Captial</t>
  </si>
  <si>
    <t>Debt Schedule</t>
  </si>
  <si>
    <t>Opening Balance</t>
  </si>
  <si>
    <t>Less: Repayments</t>
  </si>
  <si>
    <t>Closing Balance</t>
  </si>
  <si>
    <t>Interest Rate</t>
  </si>
  <si>
    <t>Interest Expense</t>
  </si>
  <si>
    <t>Working Capital Analysis</t>
  </si>
  <si>
    <t>Working Capital Percent</t>
  </si>
  <si>
    <t>Total Working Capital</t>
  </si>
  <si>
    <t>Change in Working Captial</t>
  </si>
  <si>
    <t>Plant Balance</t>
  </si>
  <si>
    <t>Add: Capital Expenditures</t>
  </si>
  <si>
    <t>Depreciaiton Rate</t>
  </si>
  <si>
    <t>Depreciation Expense</t>
  </si>
  <si>
    <t>Opeing Balance</t>
  </si>
  <si>
    <t>Add: Deprecation Expense</t>
  </si>
  <si>
    <t>Profit and Loss</t>
  </si>
  <si>
    <t>Less: Depreciation</t>
  </si>
  <si>
    <t>EBIT</t>
  </si>
  <si>
    <t>Less: Interest - Sr</t>
  </si>
  <si>
    <t>Less: Interst - Sub</t>
  </si>
  <si>
    <t>EBT</t>
  </si>
  <si>
    <t>Less: Taxes</t>
  </si>
  <si>
    <t>Earnings</t>
  </si>
  <si>
    <t xml:space="preserve">Cash Flow </t>
  </si>
  <si>
    <t>Less:  WC Changes</t>
  </si>
  <si>
    <t>Operating Cash Flow</t>
  </si>
  <si>
    <t>Less: Cap Exp</t>
  </si>
  <si>
    <t>Add: Terminal Proceeds</t>
  </si>
  <si>
    <t>Cash Before Financing</t>
  </si>
  <si>
    <t>Less: Interst on Senior Debt</t>
  </si>
  <si>
    <t>Cash After Senior Interst</t>
  </si>
  <si>
    <t>Less: Repayment on Senior Debt</t>
  </si>
  <si>
    <t>Cash to Junior Debt</t>
  </si>
  <si>
    <t>Less: Interst on Junior Debt</t>
  </si>
  <si>
    <t>Cash After Junior Interest</t>
  </si>
  <si>
    <t>Less: Repayment of Junior Debt</t>
  </si>
  <si>
    <t>Cash to Equity (Dividends)</t>
  </si>
  <si>
    <t>Total Outflows and Inflows to Equity</t>
  </si>
  <si>
    <t>Total Outflows and Inflow to Senior</t>
  </si>
  <si>
    <t>Senior IRR</t>
  </si>
  <si>
    <t>Total Outflows and Inflow to Sub</t>
  </si>
  <si>
    <t>Sub IRR</t>
  </si>
  <si>
    <t>Graph Data</t>
  </si>
  <si>
    <t>Debt Balance</t>
  </si>
  <si>
    <t xml:space="preserve">
Sensitivity Factor</t>
  </si>
  <si>
    <t>Sr Debt to EBTIDA</t>
  </si>
  <si>
    <t>Debt to EBITDA</t>
  </si>
  <si>
    <t>Index</t>
  </si>
  <si>
    <t>Sensitivity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</si>
</sst>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9" fontId="0" fillId="0" borderId="0" xfId="0" applyNumberFormat="1"/>
    <xf numFmtId="10" fontId="0" fillId="0" borderId="0" xfId="0" applyNumberFormat="1"/>
    <xf numFmtId="43" fontId="0" fillId="0" borderId="0" xfId="1" applyNumberFormat="1" applyFont="1"/>
    <xf numFmtId="43" fontId="0" fillId="0" borderId="0" xfId="0" applyNumberFormat="1"/>
    <xf numFmtId="0" fontId="0" fillId="0" borderId="1" xfId="0" applyBorder="1"/>
    <xf numFmtId="43" fontId="0" fillId="0" borderId="0" xfId="1" applyFont="1"/>
    <xf numFmtId="0" fontId="0" fillId="0" borderId="2" xfId="0" applyBorder="1"/>
    <xf numFmtId="43" fontId="0" fillId="0" borderId="2" xfId="1" applyFont="1" applyBorder="1"/>
    <xf numFmtId="0" fontId="0" fillId="0" borderId="0" xfId="0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ague%20Valuation%20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OC"/>
      <sheetName val="Godons Model"/>
      <sheetName val="Cap Exp and Dep"/>
      <sheetName val="DCF Analysis"/>
      <sheetName val="Sheet4"/>
      <sheetName val="Chart3"/>
      <sheetName val="Model Checks"/>
      <sheetName val="Data Tables"/>
      <sheetName val="Chart5"/>
      <sheetName val="LBO Analysis"/>
      <sheetName val="PE Ratio"/>
      <sheetName val="Sheet3"/>
      <sheetName val="Stock Index Chart"/>
      <sheetName val="Sheet2"/>
      <sheetName val="Stock Prices"/>
    </sheetNames>
    <sheetDataSet>
      <sheetData sheetId="0"/>
      <sheetData sheetId="1"/>
      <sheetData sheetId="2"/>
      <sheetData sheetId="3"/>
      <sheetData sheetId="4"/>
      <sheetData sheetId="6"/>
      <sheetData sheetId="7"/>
      <sheetData sheetId="9"/>
      <sheetData sheetId="10"/>
      <sheetData sheetId="11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IV284"/>
  <sheetViews>
    <sheetView tabSelected="1" zoomScale="80" zoomScaleNormal="80" workbookViewId="0">
      <selection activeCell="E5" sqref="E5"/>
    </sheetView>
  </sheetViews>
  <sheetFormatPr defaultRowHeight="15" outlineLevelCol="1"/>
  <cols>
    <col min="1" max="3" width="3.5703125" customWidth="1"/>
    <col min="4" max="4" width="30.42578125" customWidth="1"/>
    <col min="5" max="25" width="11.85546875" customWidth="1"/>
    <col min="26" max="256" width="9.140625" hidden="1" customWidth="1" outlineLevel="1"/>
    <col min="257" max="259" width="3.5703125" customWidth="1"/>
    <col min="260" max="260" width="30.42578125" customWidth="1"/>
    <col min="261" max="281" width="11.85546875" customWidth="1"/>
    <col min="282" max="512" width="0" hidden="1" customWidth="1"/>
    <col min="513" max="515" width="3.5703125" customWidth="1"/>
    <col min="516" max="516" width="30.42578125" customWidth="1"/>
    <col min="517" max="537" width="11.85546875" customWidth="1"/>
    <col min="538" max="768" width="0" hidden="1" customWidth="1"/>
    <col min="769" max="771" width="3.5703125" customWidth="1"/>
    <col min="772" max="772" width="30.42578125" customWidth="1"/>
    <col min="773" max="793" width="11.85546875" customWidth="1"/>
    <col min="794" max="1024" width="0" hidden="1" customWidth="1"/>
    <col min="1025" max="1027" width="3.5703125" customWidth="1"/>
    <col min="1028" max="1028" width="30.42578125" customWidth="1"/>
    <col min="1029" max="1049" width="11.85546875" customWidth="1"/>
    <col min="1050" max="1280" width="0" hidden="1" customWidth="1"/>
    <col min="1281" max="1283" width="3.5703125" customWidth="1"/>
    <col min="1284" max="1284" width="30.42578125" customWidth="1"/>
    <col min="1285" max="1305" width="11.85546875" customWidth="1"/>
    <col min="1306" max="1536" width="0" hidden="1" customWidth="1"/>
    <col min="1537" max="1539" width="3.5703125" customWidth="1"/>
    <col min="1540" max="1540" width="30.42578125" customWidth="1"/>
    <col min="1541" max="1561" width="11.85546875" customWidth="1"/>
    <col min="1562" max="1792" width="0" hidden="1" customWidth="1"/>
    <col min="1793" max="1795" width="3.5703125" customWidth="1"/>
    <col min="1796" max="1796" width="30.42578125" customWidth="1"/>
    <col min="1797" max="1817" width="11.85546875" customWidth="1"/>
    <col min="1818" max="2048" width="0" hidden="1" customWidth="1"/>
    <col min="2049" max="2051" width="3.5703125" customWidth="1"/>
    <col min="2052" max="2052" width="30.42578125" customWidth="1"/>
    <col min="2053" max="2073" width="11.85546875" customWidth="1"/>
    <col min="2074" max="2304" width="0" hidden="1" customWidth="1"/>
    <col min="2305" max="2307" width="3.5703125" customWidth="1"/>
    <col min="2308" max="2308" width="30.42578125" customWidth="1"/>
    <col min="2309" max="2329" width="11.85546875" customWidth="1"/>
    <col min="2330" max="2560" width="0" hidden="1" customWidth="1"/>
    <col min="2561" max="2563" width="3.5703125" customWidth="1"/>
    <col min="2564" max="2564" width="30.42578125" customWidth="1"/>
    <col min="2565" max="2585" width="11.85546875" customWidth="1"/>
    <col min="2586" max="2816" width="0" hidden="1" customWidth="1"/>
    <col min="2817" max="2819" width="3.5703125" customWidth="1"/>
    <col min="2820" max="2820" width="30.42578125" customWidth="1"/>
    <col min="2821" max="2841" width="11.85546875" customWidth="1"/>
    <col min="2842" max="3072" width="0" hidden="1" customWidth="1"/>
    <col min="3073" max="3075" width="3.5703125" customWidth="1"/>
    <col min="3076" max="3076" width="30.42578125" customWidth="1"/>
    <col min="3077" max="3097" width="11.85546875" customWidth="1"/>
    <col min="3098" max="3328" width="0" hidden="1" customWidth="1"/>
    <col min="3329" max="3331" width="3.5703125" customWidth="1"/>
    <col min="3332" max="3332" width="30.42578125" customWidth="1"/>
    <col min="3333" max="3353" width="11.85546875" customWidth="1"/>
    <col min="3354" max="3584" width="0" hidden="1" customWidth="1"/>
    <col min="3585" max="3587" width="3.5703125" customWidth="1"/>
    <col min="3588" max="3588" width="30.42578125" customWidth="1"/>
    <col min="3589" max="3609" width="11.85546875" customWidth="1"/>
    <col min="3610" max="3840" width="0" hidden="1" customWidth="1"/>
    <col min="3841" max="3843" width="3.5703125" customWidth="1"/>
    <col min="3844" max="3844" width="30.42578125" customWidth="1"/>
    <col min="3845" max="3865" width="11.85546875" customWidth="1"/>
    <col min="3866" max="4096" width="0" hidden="1" customWidth="1"/>
    <col min="4097" max="4099" width="3.5703125" customWidth="1"/>
    <col min="4100" max="4100" width="30.42578125" customWidth="1"/>
    <col min="4101" max="4121" width="11.85546875" customWidth="1"/>
    <col min="4122" max="4352" width="0" hidden="1" customWidth="1"/>
    <col min="4353" max="4355" width="3.5703125" customWidth="1"/>
    <col min="4356" max="4356" width="30.42578125" customWidth="1"/>
    <col min="4357" max="4377" width="11.85546875" customWidth="1"/>
    <col min="4378" max="4608" width="0" hidden="1" customWidth="1"/>
    <col min="4609" max="4611" width="3.5703125" customWidth="1"/>
    <col min="4612" max="4612" width="30.42578125" customWidth="1"/>
    <col min="4613" max="4633" width="11.85546875" customWidth="1"/>
    <col min="4634" max="4864" width="0" hidden="1" customWidth="1"/>
    <col min="4865" max="4867" width="3.5703125" customWidth="1"/>
    <col min="4868" max="4868" width="30.42578125" customWidth="1"/>
    <col min="4869" max="4889" width="11.85546875" customWidth="1"/>
    <col min="4890" max="5120" width="0" hidden="1" customWidth="1"/>
    <col min="5121" max="5123" width="3.5703125" customWidth="1"/>
    <col min="5124" max="5124" width="30.42578125" customWidth="1"/>
    <col min="5125" max="5145" width="11.85546875" customWidth="1"/>
    <col min="5146" max="5376" width="0" hidden="1" customWidth="1"/>
    <col min="5377" max="5379" width="3.5703125" customWidth="1"/>
    <col min="5380" max="5380" width="30.42578125" customWidth="1"/>
    <col min="5381" max="5401" width="11.85546875" customWidth="1"/>
    <col min="5402" max="5632" width="0" hidden="1" customWidth="1"/>
    <col min="5633" max="5635" width="3.5703125" customWidth="1"/>
    <col min="5636" max="5636" width="30.42578125" customWidth="1"/>
    <col min="5637" max="5657" width="11.85546875" customWidth="1"/>
    <col min="5658" max="5888" width="0" hidden="1" customWidth="1"/>
    <col min="5889" max="5891" width="3.5703125" customWidth="1"/>
    <col min="5892" max="5892" width="30.42578125" customWidth="1"/>
    <col min="5893" max="5913" width="11.85546875" customWidth="1"/>
    <col min="5914" max="6144" width="0" hidden="1" customWidth="1"/>
    <col min="6145" max="6147" width="3.5703125" customWidth="1"/>
    <col min="6148" max="6148" width="30.42578125" customWidth="1"/>
    <col min="6149" max="6169" width="11.85546875" customWidth="1"/>
    <col min="6170" max="6400" width="0" hidden="1" customWidth="1"/>
    <col min="6401" max="6403" width="3.5703125" customWidth="1"/>
    <col min="6404" max="6404" width="30.42578125" customWidth="1"/>
    <col min="6405" max="6425" width="11.85546875" customWidth="1"/>
    <col min="6426" max="6656" width="0" hidden="1" customWidth="1"/>
    <col min="6657" max="6659" width="3.5703125" customWidth="1"/>
    <col min="6660" max="6660" width="30.42578125" customWidth="1"/>
    <col min="6661" max="6681" width="11.85546875" customWidth="1"/>
    <col min="6682" max="6912" width="0" hidden="1" customWidth="1"/>
    <col min="6913" max="6915" width="3.5703125" customWidth="1"/>
    <col min="6916" max="6916" width="30.42578125" customWidth="1"/>
    <col min="6917" max="6937" width="11.85546875" customWidth="1"/>
    <col min="6938" max="7168" width="0" hidden="1" customWidth="1"/>
    <col min="7169" max="7171" width="3.5703125" customWidth="1"/>
    <col min="7172" max="7172" width="30.42578125" customWidth="1"/>
    <col min="7173" max="7193" width="11.85546875" customWidth="1"/>
    <col min="7194" max="7424" width="0" hidden="1" customWidth="1"/>
    <col min="7425" max="7427" width="3.5703125" customWidth="1"/>
    <col min="7428" max="7428" width="30.42578125" customWidth="1"/>
    <col min="7429" max="7449" width="11.85546875" customWidth="1"/>
    <col min="7450" max="7680" width="0" hidden="1" customWidth="1"/>
    <col min="7681" max="7683" width="3.5703125" customWidth="1"/>
    <col min="7684" max="7684" width="30.42578125" customWidth="1"/>
    <col min="7685" max="7705" width="11.85546875" customWidth="1"/>
    <col min="7706" max="7936" width="0" hidden="1" customWidth="1"/>
    <col min="7937" max="7939" width="3.5703125" customWidth="1"/>
    <col min="7940" max="7940" width="30.42578125" customWidth="1"/>
    <col min="7941" max="7961" width="11.85546875" customWidth="1"/>
    <col min="7962" max="8192" width="0" hidden="1" customWidth="1"/>
    <col min="8193" max="8195" width="3.5703125" customWidth="1"/>
    <col min="8196" max="8196" width="30.42578125" customWidth="1"/>
    <col min="8197" max="8217" width="11.85546875" customWidth="1"/>
    <col min="8218" max="8448" width="0" hidden="1" customWidth="1"/>
    <col min="8449" max="8451" width="3.5703125" customWidth="1"/>
    <col min="8452" max="8452" width="30.42578125" customWidth="1"/>
    <col min="8453" max="8473" width="11.85546875" customWidth="1"/>
    <col min="8474" max="8704" width="0" hidden="1" customWidth="1"/>
    <col min="8705" max="8707" width="3.5703125" customWidth="1"/>
    <col min="8708" max="8708" width="30.42578125" customWidth="1"/>
    <col min="8709" max="8729" width="11.85546875" customWidth="1"/>
    <col min="8730" max="8960" width="0" hidden="1" customWidth="1"/>
    <col min="8961" max="8963" width="3.5703125" customWidth="1"/>
    <col min="8964" max="8964" width="30.42578125" customWidth="1"/>
    <col min="8965" max="8985" width="11.85546875" customWidth="1"/>
    <col min="8986" max="9216" width="0" hidden="1" customWidth="1"/>
    <col min="9217" max="9219" width="3.5703125" customWidth="1"/>
    <col min="9220" max="9220" width="30.42578125" customWidth="1"/>
    <col min="9221" max="9241" width="11.85546875" customWidth="1"/>
    <col min="9242" max="9472" width="0" hidden="1" customWidth="1"/>
    <col min="9473" max="9475" width="3.5703125" customWidth="1"/>
    <col min="9476" max="9476" width="30.42578125" customWidth="1"/>
    <col min="9477" max="9497" width="11.85546875" customWidth="1"/>
    <col min="9498" max="9728" width="0" hidden="1" customWidth="1"/>
    <col min="9729" max="9731" width="3.5703125" customWidth="1"/>
    <col min="9732" max="9732" width="30.42578125" customWidth="1"/>
    <col min="9733" max="9753" width="11.85546875" customWidth="1"/>
    <col min="9754" max="9984" width="0" hidden="1" customWidth="1"/>
    <col min="9985" max="9987" width="3.5703125" customWidth="1"/>
    <col min="9988" max="9988" width="30.42578125" customWidth="1"/>
    <col min="9989" max="10009" width="11.85546875" customWidth="1"/>
    <col min="10010" max="10240" width="0" hidden="1" customWidth="1"/>
    <col min="10241" max="10243" width="3.5703125" customWidth="1"/>
    <col min="10244" max="10244" width="30.42578125" customWidth="1"/>
    <col min="10245" max="10265" width="11.85546875" customWidth="1"/>
    <col min="10266" max="10496" width="0" hidden="1" customWidth="1"/>
    <col min="10497" max="10499" width="3.5703125" customWidth="1"/>
    <col min="10500" max="10500" width="30.42578125" customWidth="1"/>
    <col min="10501" max="10521" width="11.85546875" customWidth="1"/>
    <col min="10522" max="10752" width="0" hidden="1" customWidth="1"/>
    <col min="10753" max="10755" width="3.5703125" customWidth="1"/>
    <col min="10756" max="10756" width="30.42578125" customWidth="1"/>
    <col min="10757" max="10777" width="11.85546875" customWidth="1"/>
    <col min="10778" max="11008" width="0" hidden="1" customWidth="1"/>
    <col min="11009" max="11011" width="3.5703125" customWidth="1"/>
    <col min="11012" max="11012" width="30.42578125" customWidth="1"/>
    <col min="11013" max="11033" width="11.85546875" customWidth="1"/>
    <col min="11034" max="11264" width="0" hidden="1" customWidth="1"/>
    <col min="11265" max="11267" width="3.5703125" customWidth="1"/>
    <col min="11268" max="11268" width="30.42578125" customWidth="1"/>
    <col min="11269" max="11289" width="11.85546875" customWidth="1"/>
    <col min="11290" max="11520" width="0" hidden="1" customWidth="1"/>
    <col min="11521" max="11523" width="3.5703125" customWidth="1"/>
    <col min="11524" max="11524" width="30.42578125" customWidth="1"/>
    <col min="11525" max="11545" width="11.85546875" customWidth="1"/>
    <col min="11546" max="11776" width="0" hidden="1" customWidth="1"/>
    <col min="11777" max="11779" width="3.5703125" customWidth="1"/>
    <col min="11780" max="11780" width="30.42578125" customWidth="1"/>
    <col min="11781" max="11801" width="11.85546875" customWidth="1"/>
    <col min="11802" max="12032" width="0" hidden="1" customWidth="1"/>
    <col min="12033" max="12035" width="3.5703125" customWidth="1"/>
    <col min="12036" max="12036" width="30.42578125" customWidth="1"/>
    <col min="12037" max="12057" width="11.85546875" customWidth="1"/>
    <col min="12058" max="12288" width="0" hidden="1" customWidth="1"/>
    <col min="12289" max="12291" width="3.5703125" customWidth="1"/>
    <col min="12292" max="12292" width="30.42578125" customWidth="1"/>
    <col min="12293" max="12313" width="11.85546875" customWidth="1"/>
    <col min="12314" max="12544" width="0" hidden="1" customWidth="1"/>
    <col min="12545" max="12547" width="3.5703125" customWidth="1"/>
    <col min="12548" max="12548" width="30.42578125" customWidth="1"/>
    <col min="12549" max="12569" width="11.85546875" customWidth="1"/>
    <col min="12570" max="12800" width="0" hidden="1" customWidth="1"/>
    <col min="12801" max="12803" width="3.5703125" customWidth="1"/>
    <col min="12804" max="12804" width="30.42578125" customWidth="1"/>
    <col min="12805" max="12825" width="11.85546875" customWidth="1"/>
    <col min="12826" max="13056" width="0" hidden="1" customWidth="1"/>
    <col min="13057" max="13059" width="3.5703125" customWidth="1"/>
    <col min="13060" max="13060" width="30.42578125" customWidth="1"/>
    <col min="13061" max="13081" width="11.85546875" customWidth="1"/>
    <col min="13082" max="13312" width="0" hidden="1" customWidth="1"/>
    <col min="13313" max="13315" width="3.5703125" customWidth="1"/>
    <col min="13316" max="13316" width="30.42578125" customWidth="1"/>
    <col min="13317" max="13337" width="11.85546875" customWidth="1"/>
    <col min="13338" max="13568" width="0" hidden="1" customWidth="1"/>
    <col min="13569" max="13571" width="3.5703125" customWidth="1"/>
    <col min="13572" max="13572" width="30.42578125" customWidth="1"/>
    <col min="13573" max="13593" width="11.85546875" customWidth="1"/>
    <col min="13594" max="13824" width="0" hidden="1" customWidth="1"/>
    <col min="13825" max="13827" width="3.5703125" customWidth="1"/>
    <col min="13828" max="13828" width="30.42578125" customWidth="1"/>
    <col min="13829" max="13849" width="11.85546875" customWidth="1"/>
    <col min="13850" max="14080" width="0" hidden="1" customWidth="1"/>
    <col min="14081" max="14083" width="3.5703125" customWidth="1"/>
    <col min="14084" max="14084" width="30.42578125" customWidth="1"/>
    <col min="14085" max="14105" width="11.85546875" customWidth="1"/>
    <col min="14106" max="14336" width="0" hidden="1" customWidth="1"/>
    <col min="14337" max="14339" width="3.5703125" customWidth="1"/>
    <col min="14340" max="14340" width="30.42578125" customWidth="1"/>
    <col min="14341" max="14361" width="11.85546875" customWidth="1"/>
    <col min="14362" max="14592" width="0" hidden="1" customWidth="1"/>
    <col min="14593" max="14595" width="3.5703125" customWidth="1"/>
    <col min="14596" max="14596" width="30.42578125" customWidth="1"/>
    <col min="14597" max="14617" width="11.85546875" customWidth="1"/>
    <col min="14618" max="14848" width="0" hidden="1" customWidth="1"/>
    <col min="14849" max="14851" width="3.5703125" customWidth="1"/>
    <col min="14852" max="14852" width="30.42578125" customWidth="1"/>
    <col min="14853" max="14873" width="11.85546875" customWidth="1"/>
    <col min="14874" max="15104" width="0" hidden="1" customWidth="1"/>
    <col min="15105" max="15107" width="3.5703125" customWidth="1"/>
    <col min="15108" max="15108" width="30.42578125" customWidth="1"/>
    <col min="15109" max="15129" width="11.85546875" customWidth="1"/>
    <col min="15130" max="15360" width="0" hidden="1" customWidth="1"/>
    <col min="15361" max="15363" width="3.5703125" customWidth="1"/>
    <col min="15364" max="15364" width="30.42578125" customWidth="1"/>
    <col min="15365" max="15385" width="11.85546875" customWidth="1"/>
    <col min="15386" max="15616" width="0" hidden="1" customWidth="1"/>
    <col min="15617" max="15619" width="3.5703125" customWidth="1"/>
    <col min="15620" max="15620" width="30.42578125" customWidth="1"/>
    <col min="15621" max="15641" width="11.85546875" customWidth="1"/>
    <col min="15642" max="15872" width="0" hidden="1" customWidth="1"/>
    <col min="15873" max="15875" width="3.5703125" customWidth="1"/>
    <col min="15876" max="15876" width="30.42578125" customWidth="1"/>
    <col min="15877" max="15897" width="11.85546875" customWidth="1"/>
    <col min="15898" max="16128" width="0" hidden="1" customWidth="1"/>
    <col min="16129" max="16131" width="3.5703125" customWidth="1"/>
    <col min="16132" max="16132" width="30.42578125" customWidth="1"/>
    <col min="16133" max="16153" width="11.85546875" customWidth="1"/>
    <col min="16154" max="16384" width="0" hidden="1" customWidth="1"/>
  </cols>
  <sheetData>
    <row r="1" spans="1:25">
      <c r="R1" t="s">
        <v>0</v>
      </c>
    </row>
    <row r="2" spans="1:25">
      <c r="R2" t="s">
        <v>1</v>
      </c>
    </row>
    <row r="3" spans="1:25">
      <c r="R3" t="s">
        <v>2</v>
      </c>
    </row>
    <row r="4" spans="1:25">
      <c r="A4" t="s">
        <v>3</v>
      </c>
    </row>
    <row r="5" spans="1:25">
      <c r="H5" t="s">
        <v>4</v>
      </c>
      <c r="K5" s="1">
        <f>E153</f>
        <v>0.22492824372640804</v>
      </c>
      <c r="P5" t="s">
        <v>5</v>
      </c>
      <c r="Q5" t="s">
        <v>6</v>
      </c>
      <c r="R5" t="s">
        <v>7</v>
      </c>
      <c r="S5" t="s">
        <v>8</v>
      </c>
      <c r="T5" t="s">
        <v>9</v>
      </c>
      <c r="W5" t="s">
        <v>10</v>
      </c>
      <c r="X5" t="s">
        <v>11</v>
      </c>
      <c r="Y5" t="s">
        <v>12</v>
      </c>
    </row>
    <row r="6" spans="1:25">
      <c r="B6" t="s">
        <v>13</v>
      </c>
      <c r="H6" t="s">
        <v>14</v>
      </c>
      <c r="N6" t="s">
        <v>15</v>
      </c>
    </row>
    <row r="7" spans="1:25">
      <c r="H7" t="s">
        <v>16</v>
      </c>
      <c r="N7" t="s">
        <v>17</v>
      </c>
    </row>
    <row r="8" spans="1:25">
      <c r="D8" t="s">
        <v>2</v>
      </c>
      <c r="E8">
        <v>10</v>
      </c>
      <c r="N8" t="s">
        <v>18</v>
      </c>
    </row>
    <row r="9" spans="1:25">
      <c r="H9" t="s">
        <v>19</v>
      </c>
      <c r="K9" s="1">
        <f>G186</f>
        <v>0.21999999999999997</v>
      </c>
      <c r="N9" t="s">
        <v>20</v>
      </c>
    </row>
    <row r="10" spans="1:25">
      <c r="D10" t="s">
        <v>0</v>
      </c>
      <c r="E10">
        <v>4</v>
      </c>
      <c r="H10" t="s">
        <v>21</v>
      </c>
      <c r="N10" t="s">
        <v>22</v>
      </c>
    </row>
    <row r="11" spans="1:25">
      <c r="D11" t="s">
        <v>1</v>
      </c>
      <c r="E11">
        <v>2</v>
      </c>
    </row>
    <row r="12" spans="1:25">
      <c r="H12" t="s">
        <v>23</v>
      </c>
    </row>
    <row r="13" spans="1:25">
      <c r="D13" t="s">
        <v>24</v>
      </c>
      <c r="E13">
        <v>100</v>
      </c>
      <c r="H13" t="s">
        <v>25</v>
      </c>
    </row>
    <row r="15" spans="1:25">
      <c r="D15" t="s">
        <v>5</v>
      </c>
      <c r="E15">
        <v>20</v>
      </c>
    </row>
    <row r="17" spans="4:25">
      <c r="D17" t="s">
        <v>26</v>
      </c>
      <c r="F17" s="1">
        <v>-0.05</v>
      </c>
      <c r="G17" s="1">
        <v>0.15</v>
      </c>
      <c r="H17" s="1">
        <v>0.2</v>
      </c>
      <c r="I17" s="1">
        <v>0.18</v>
      </c>
      <c r="J17" s="1">
        <v>0.15</v>
      </c>
      <c r="K17" s="1">
        <v>0.15</v>
      </c>
      <c r="L17" s="1">
        <v>0.1</v>
      </c>
      <c r="M17" s="1">
        <v>7.0000000000000007E-2</v>
      </c>
      <c r="N17" s="1">
        <v>0.03</v>
      </c>
      <c r="O17" s="1">
        <v>0.03</v>
      </c>
      <c r="P17" s="1">
        <v>0.03</v>
      </c>
      <c r="Q17" s="1">
        <v>0.03</v>
      </c>
      <c r="R17" s="1">
        <v>0.03</v>
      </c>
      <c r="S17" s="1">
        <v>0.03</v>
      </c>
      <c r="T17" s="1">
        <v>0.03</v>
      </c>
      <c r="U17" s="1">
        <v>0.03</v>
      </c>
      <c r="V17" s="1">
        <v>0.03</v>
      </c>
      <c r="W17" s="1">
        <v>0.03</v>
      </c>
      <c r="X17" s="1">
        <v>0.03</v>
      </c>
      <c r="Y17" s="1">
        <v>0.03</v>
      </c>
    </row>
    <row r="19" spans="4:25">
      <c r="D19" t="s">
        <v>27</v>
      </c>
      <c r="E19" s="1">
        <v>0.02</v>
      </c>
    </row>
    <row r="20" spans="4:25">
      <c r="J20" t="s">
        <v>4</v>
      </c>
    </row>
    <row r="21" spans="4:25">
      <c r="D21" t="s">
        <v>28</v>
      </c>
      <c r="E21" s="1">
        <f>G21/100</f>
        <v>1</v>
      </c>
      <c r="G21">
        <v>100</v>
      </c>
      <c r="I21" t="s">
        <v>29</v>
      </c>
      <c r="J21" s="1">
        <f>E153</f>
        <v>0.22492824372640804</v>
      </c>
    </row>
    <row r="22" spans="4:25">
      <c r="I22">
        <v>2</v>
      </c>
      <c r="J22" s="2">
        <v>0.15958936697435916</v>
      </c>
    </row>
    <row r="23" spans="4:25">
      <c r="D23" t="s">
        <v>30</v>
      </c>
      <c r="E23" s="1">
        <v>7.0000000000000007E-2</v>
      </c>
      <c r="I23">
        <v>3</v>
      </c>
      <c r="J23" s="2">
        <v>0.26060131498507616</v>
      </c>
    </row>
    <row r="24" spans="4:25">
      <c r="D24" t="s">
        <v>31</v>
      </c>
      <c r="E24" s="1">
        <v>0.15</v>
      </c>
      <c r="I24">
        <v>4</v>
      </c>
      <c r="J24" s="2">
        <v>0.28798011792364064</v>
      </c>
    </row>
    <row r="25" spans="4:25">
      <c r="I25">
        <v>5</v>
      </c>
      <c r="J25" s="2">
        <v>0.28753342571458623</v>
      </c>
    </row>
    <row r="26" spans="4:25">
      <c r="D26" t="s">
        <v>29</v>
      </c>
      <c r="E26" s="3">
        <v>10</v>
      </c>
      <c r="I26">
        <v>6</v>
      </c>
      <c r="J26" s="2">
        <v>0.28362764842258542</v>
      </c>
    </row>
    <row r="27" spans="4:25">
      <c r="I27">
        <v>7</v>
      </c>
      <c r="J27" s="2">
        <v>0.2699084265817791</v>
      </c>
    </row>
    <row r="28" spans="4:25">
      <c r="D28" t="s">
        <v>9</v>
      </c>
      <c r="E28">
        <v>10</v>
      </c>
      <c r="I28">
        <v>8</v>
      </c>
      <c r="J28" s="2">
        <v>0.25448209456681853</v>
      </c>
    </row>
    <row r="29" spans="4:25">
      <c r="I29">
        <v>9</v>
      </c>
      <c r="J29" s="2">
        <v>0.23749176201046024</v>
      </c>
    </row>
    <row r="30" spans="4:25">
      <c r="D30" t="s">
        <v>32</v>
      </c>
      <c r="E30" s="1">
        <v>0.05</v>
      </c>
      <c r="I30">
        <v>10</v>
      </c>
      <c r="J30" s="2">
        <v>0.22492824372640804</v>
      </c>
    </row>
    <row r="31" spans="4:25">
      <c r="D31" t="s">
        <v>33</v>
      </c>
      <c r="E31" s="1">
        <v>0.2</v>
      </c>
    </row>
    <row r="32" spans="4:25">
      <c r="D32" t="s">
        <v>34</v>
      </c>
      <c r="E32" s="1">
        <v>0.05</v>
      </c>
      <c r="I32" t="s">
        <v>35</v>
      </c>
      <c r="J32" s="2">
        <f>MAX(J22:J30)</f>
        <v>0.28798011792364064</v>
      </c>
      <c r="K32" t="e">
        <f ca="1">f(J32)</f>
        <v>#NAME?</v>
      </c>
    </row>
    <row r="33" spans="1:25">
      <c r="I33" t="s">
        <v>36</v>
      </c>
      <c r="J33">
        <f>MATCH(J32,J22:J30,0)</f>
        <v>3</v>
      </c>
      <c r="K33" t="e">
        <f ca="1">f(J33)</f>
        <v>#NAME?</v>
      </c>
    </row>
    <row r="34" spans="1:25">
      <c r="A34" t="s">
        <v>37</v>
      </c>
      <c r="I34" t="s">
        <v>38</v>
      </c>
      <c r="J34">
        <f>INDEX(I22:I30,J33)</f>
        <v>4</v>
      </c>
    </row>
    <row r="35" spans="1:25">
      <c r="D35" t="s">
        <v>39</v>
      </c>
      <c r="E35" s="3">
        <v>0</v>
      </c>
      <c r="F35" s="4">
        <f>E35+1</f>
        <v>1</v>
      </c>
      <c r="G35" s="4">
        <f t="shared" ref="G35:Y35" si="0">F35+1</f>
        <v>2</v>
      </c>
      <c r="H35" s="4">
        <f t="shared" si="0"/>
        <v>3</v>
      </c>
      <c r="I35" s="4">
        <f t="shared" si="0"/>
        <v>4</v>
      </c>
      <c r="J35" s="4">
        <f t="shared" si="0"/>
        <v>5</v>
      </c>
      <c r="K35" s="4">
        <f t="shared" si="0"/>
        <v>6</v>
      </c>
      <c r="L35" s="4">
        <f t="shared" si="0"/>
        <v>7</v>
      </c>
      <c r="M35" s="4">
        <f t="shared" si="0"/>
        <v>8</v>
      </c>
      <c r="N35" s="4">
        <f t="shared" si="0"/>
        <v>9</v>
      </c>
      <c r="O35" s="4">
        <f t="shared" si="0"/>
        <v>10</v>
      </c>
      <c r="P35" s="4">
        <f t="shared" si="0"/>
        <v>11</v>
      </c>
      <c r="Q35" s="4">
        <f t="shared" si="0"/>
        <v>12</v>
      </c>
      <c r="R35" s="4">
        <f t="shared" si="0"/>
        <v>13</v>
      </c>
      <c r="S35" s="4">
        <f t="shared" si="0"/>
        <v>14</v>
      </c>
      <c r="T35" s="4">
        <f t="shared" si="0"/>
        <v>15</v>
      </c>
      <c r="U35" s="4">
        <f t="shared" si="0"/>
        <v>16</v>
      </c>
      <c r="V35" s="4">
        <f t="shared" si="0"/>
        <v>17</v>
      </c>
      <c r="W35" s="4">
        <f t="shared" si="0"/>
        <v>18</v>
      </c>
      <c r="X35" s="4">
        <f t="shared" si="0"/>
        <v>19</v>
      </c>
      <c r="Y35" s="4">
        <f t="shared" si="0"/>
        <v>20</v>
      </c>
    </row>
    <row r="36" spans="1:25">
      <c r="D36" t="s">
        <v>29</v>
      </c>
      <c r="F36" t="b">
        <f>F35&lt;=Holding_Period</f>
        <v>1</v>
      </c>
      <c r="G36" t="b">
        <f>G35&lt;=Holding_Period</f>
        <v>1</v>
      </c>
      <c r="H36" t="b">
        <f>H35&lt;=Holding_Period</f>
        <v>1</v>
      </c>
      <c r="I36" t="b">
        <f>I35&lt;=Holding_Period</f>
        <v>1</v>
      </c>
      <c r="J36" t="b">
        <f>J35&lt;=Holding_Period</f>
        <v>1</v>
      </c>
      <c r="K36" t="b">
        <f>K35&lt;=Holding_Period</f>
        <v>1</v>
      </c>
      <c r="L36" t="b">
        <f>L35&lt;=Holding_Period</f>
        <v>1</v>
      </c>
      <c r="M36" t="b">
        <f>M35&lt;=Holding_Period</f>
        <v>1</v>
      </c>
      <c r="N36" t="b">
        <f>N35&lt;=Holding_Period</f>
        <v>1</v>
      </c>
      <c r="O36" t="b">
        <f>O35&lt;=Holding_Period</f>
        <v>1</v>
      </c>
      <c r="P36" t="b">
        <f>P35&lt;=Holding_Period</f>
        <v>0</v>
      </c>
      <c r="Q36" t="b">
        <f>Q35&lt;=Holding_Period</f>
        <v>0</v>
      </c>
      <c r="R36" t="b">
        <f>R35&lt;=Holding_Period</f>
        <v>0</v>
      </c>
      <c r="S36" t="b">
        <f>S35&lt;=Holding_Period</f>
        <v>0</v>
      </c>
      <c r="T36" t="b">
        <f>T35&lt;=Holding_Period</f>
        <v>0</v>
      </c>
      <c r="U36" t="b">
        <f>U35&lt;=Holding_Period</f>
        <v>0</v>
      </c>
      <c r="V36" t="b">
        <f>V35&lt;=Holding_Period</f>
        <v>0</v>
      </c>
      <c r="W36" t="b">
        <f>W35&lt;=Holding_Period</f>
        <v>0</v>
      </c>
      <c r="X36" t="b">
        <f>X35&lt;=Holding_Period</f>
        <v>0</v>
      </c>
      <c r="Y36" t="b">
        <f>Y35&lt;=Holding_Period</f>
        <v>0</v>
      </c>
    </row>
    <row r="37" spans="1:25">
      <c r="D37" t="s">
        <v>40</v>
      </c>
      <c r="F37" t="b">
        <f>F35=Holding_Period</f>
        <v>0</v>
      </c>
      <c r="G37" t="b">
        <f>G35=Holding_Period</f>
        <v>0</v>
      </c>
      <c r="H37" t="b">
        <f>H35=Holding_Period</f>
        <v>0</v>
      </c>
      <c r="I37" t="b">
        <f>I35=Holding_Period</f>
        <v>0</v>
      </c>
      <c r="J37" t="b">
        <f>J35=Holding_Period</f>
        <v>0</v>
      </c>
      <c r="K37" t="b">
        <f>K35=Holding_Period</f>
        <v>0</v>
      </c>
      <c r="L37" t="b">
        <f>L35=Holding_Period</f>
        <v>0</v>
      </c>
      <c r="M37" t="b">
        <f>M35=Holding_Period</f>
        <v>0</v>
      </c>
      <c r="N37" t="b">
        <f>N35=Holding_Period</f>
        <v>0</v>
      </c>
      <c r="O37" t="b">
        <f>O35=Holding_Period</f>
        <v>1</v>
      </c>
      <c r="P37" t="b">
        <f>P35=Holding_Period</f>
        <v>0</v>
      </c>
      <c r="Q37" t="b">
        <f>Q35=Holding_Period</f>
        <v>0</v>
      </c>
      <c r="R37" t="b">
        <f>R35=Holding_Period</f>
        <v>0</v>
      </c>
      <c r="S37" t="b">
        <f>S35=Holding_Period</f>
        <v>0</v>
      </c>
      <c r="T37" t="b">
        <f>T35=Holding_Period</f>
        <v>0</v>
      </c>
      <c r="U37" t="b">
        <f>U35=Holding_Period</f>
        <v>0</v>
      </c>
      <c r="V37" t="b">
        <f>V35=Holding_Period</f>
        <v>0</v>
      </c>
      <c r="W37" t="b">
        <f>W35=Holding_Period</f>
        <v>0</v>
      </c>
      <c r="X37" t="b">
        <f>X35=Holding_Period</f>
        <v>0</v>
      </c>
      <c r="Y37" t="b">
        <f>Y35=Holding_Period</f>
        <v>0</v>
      </c>
    </row>
    <row r="39" spans="1:25">
      <c r="D39" t="s">
        <v>41</v>
      </c>
      <c r="E39">
        <f>EBITDA</f>
        <v>100</v>
      </c>
      <c r="F39">
        <f>EBITDA</f>
        <v>100</v>
      </c>
      <c r="G39">
        <f>EBITDA</f>
        <v>100</v>
      </c>
      <c r="H39">
        <f>EBITDA</f>
        <v>100</v>
      </c>
      <c r="I39">
        <f>EBITDA</f>
        <v>100</v>
      </c>
      <c r="J39">
        <f>EBITDA</f>
        <v>100</v>
      </c>
      <c r="K39">
        <f>EBITDA</f>
        <v>100</v>
      </c>
      <c r="L39">
        <f>EBITDA</f>
        <v>100</v>
      </c>
      <c r="M39">
        <f>EBITDA</f>
        <v>100</v>
      </c>
      <c r="N39">
        <f>EBITDA</f>
        <v>100</v>
      </c>
      <c r="O39">
        <f>EBITDA</f>
        <v>100</v>
      </c>
      <c r="P39">
        <f>EBITDA</f>
        <v>100</v>
      </c>
      <c r="Q39">
        <f>EBITDA</f>
        <v>100</v>
      </c>
      <c r="R39">
        <f>EBITDA</f>
        <v>100</v>
      </c>
      <c r="S39">
        <f>EBITDA</f>
        <v>100</v>
      </c>
      <c r="T39">
        <f>EBITDA</f>
        <v>100</v>
      </c>
      <c r="U39">
        <f>EBITDA</f>
        <v>100</v>
      </c>
      <c r="V39">
        <f>EBITDA</f>
        <v>100</v>
      </c>
      <c r="W39">
        <f>EBITDA</f>
        <v>100</v>
      </c>
      <c r="X39">
        <f>EBITDA</f>
        <v>100</v>
      </c>
      <c r="Y39">
        <f>EBITDA</f>
        <v>100</v>
      </c>
    </row>
    <row r="40" spans="1:25">
      <c r="D40" t="s">
        <v>42</v>
      </c>
      <c r="E40">
        <v>1</v>
      </c>
      <c r="F40">
        <f>E40*(1+F17)</f>
        <v>0.95</v>
      </c>
      <c r="G40">
        <f t="shared" ref="G40:Y40" si="1">F40*(1+G17)</f>
        <v>1.0924999999999998</v>
      </c>
      <c r="H40">
        <f t="shared" si="1"/>
        <v>1.3109999999999997</v>
      </c>
      <c r="I40">
        <f t="shared" si="1"/>
        <v>1.5469799999999996</v>
      </c>
      <c r="J40">
        <f t="shared" si="1"/>
        <v>1.7790269999999995</v>
      </c>
      <c r="K40">
        <f t="shared" si="1"/>
        <v>2.0458810499999993</v>
      </c>
      <c r="L40">
        <f t="shared" si="1"/>
        <v>2.2504691549999993</v>
      </c>
      <c r="M40">
        <f t="shared" si="1"/>
        <v>2.4080019958499994</v>
      </c>
      <c r="N40">
        <f t="shared" si="1"/>
        <v>2.4802420557254994</v>
      </c>
      <c r="O40">
        <f t="shared" si="1"/>
        <v>2.5546493173972644</v>
      </c>
      <c r="P40">
        <f t="shared" si="1"/>
        <v>2.6312887969191823</v>
      </c>
      <c r="Q40">
        <f t="shared" si="1"/>
        <v>2.7102274608267578</v>
      </c>
      <c r="R40">
        <f t="shared" si="1"/>
        <v>2.7915342846515605</v>
      </c>
      <c r="S40">
        <f t="shared" si="1"/>
        <v>2.8752803131911073</v>
      </c>
      <c r="T40">
        <f t="shared" si="1"/>
        <v>2.9615387225868406</v>
      </c>
      <c r="U40">
        <f t="shared" si="1"/>
        <v>3.0503848842644459</v>
      </c>
      <c r="V40">
        <f t="shared" si="1"/>
        <v>3.1418964307923791</v>
      </c>
      <c r="W40">
        <f t="shared" si="1"/>
        <v>3.2361533237161506</v>
      </c>
      <c r="X40">
        <f t="shared" si="1"/>
        <v>3.3332379234276353</v>
      </c>
      <c r="Y40">
        <f t="shared" si="1"/>
        <v>3.4332350611304645</v>
      </c>
    </row>
    <row r="41" spans="1:25">
      <c r="D41" t="s">
        <v>43</v>
      </c>
      <c r="F41">
        <f>F39*F40</f>
        <v>95</v>
      </c>
      <c r="G41">
        <f t="shared" ref="G41:Y41" si="2">G39*G40</f>
        <v>109.24999999999999</v>
      </c>
      <c r="H41">
        <f t="shared" si="2"/>
        <v>131.09999999999997</v>
      </c>
      <c r="I41">
        <f t="shared" si="2"/>
        <v>154.69799999999995</v>
      </c>
      <c r="J41">
        <f t="shared" si="2"/>
        <v>177.90269999999995</v>
      </c>
      <c r="K41">
        <f t="shared" si="2"/>
        <v>204.58810499999993</v>
      </c>
      <c r="L41">
        <f t="shared" si="2"/>
        <v>225.04691549999993</v>
      </c>
      <c r="M41">
        <f t="shared" si="2"/>
        <v>240.80019958499994</v>
      </c>
      <c r="N41">
        <f t="shared" si="2"/>
        <v>248.02420557254993</v>
      </c>
      <c r="O41">
        <f t="shared" si="2"/>
        <v>255.46493173972644</v>
      </c>
      <c r="P41">
        <f t="shared" si="2"/>
        <v>263.1288796919182</v>
      </c>
      <c r="Q41">
        <f t="shared" si="2"/>
        <v>271.02274608267578</v>
      </c>
      <c r="R41">
        <f t="shared" si="2"/>
        <v>279.15342846515603</v>
      </c>
      <c r="S41">
        <f t="shared" si="2"/>
        <v>287.52803131911071</v>
      </c>
      <c r="T41">
        <f t="shared" si="2"/>
        <v>296.15387225868403</v>
      </c>
      <c r="U41">
        <f t="shared" si="2"/>
        <v>305.03848842644459</v>
      </c>
      <c r="V41">
        <f t="shared" si="2"/>
        <v>314.1896430792379</v>
      </c>
      <c r="W41">
        <f t="shared" si="2"/>
        <v>323.61533237161507</v>
      </c>
      <c r="X41">
        <f t="shared" si="2"/>
        <v>333.32379234276351</v>
      </c>
      <c r="Y41">
        <f t="shared" si="2"/>
        <v>343.32350611304645</v>
      </c>
    </row>
    <row r="42" spans="1:25">
      <c r="D42" t="s">
        <v>44</v>
      </c>
      <c r="F42" s="1">
        <f>EBITDA_Sensitivity_Factor</f>
        <v>1</v>
      </c>
      <c r="G42" s="1">
        <f>EBITDA_Sensitivity_Factor</f>
        <v>1</v>
      </c>
      <c r="H42" s="1">
        <f>EBITDA_Sensitivity_Factor</f>
        <v>1</v>
      </c>
      <c r="I42" s="1">
        <f>EBITDA_Sensitivity_Factor</f>
        <v>1</v>
      </c>
      <c r="J42" s="1">
        <f>EBITDA_Sensitivity_Factor</f>
        <v>1</v>
      </c>
      <c r="K42" s="1">
        <f>EBITDA_Sensitivity_Factor</f>
        <v>1</v>
      </c>
      <c r="L42" s="1">
        <f>EBITDA_Sensitivity_Factor</f>
        <v>1</v>
      </c>
      <c r="M42" s="1">
        <f>EBITDA_Sensitivity_Factor</f>
        <v>1</v>
      </c>
      <c r="N42" s="1">
        <f>EBITDA_Sensitivity_Factor</f>
        <v>1</v>
      </c>
      <c r="O42" s="1">
        <f>EBITDA_Sensitivity_Factor</f>
        <v>1</v>
      </c>
      <c r="P42" s="1">
        <f>EBITDA_Sensitivity_Factor</f>
        <v>1</v>
      </c>
      <c r="Q42" s="1">
        <f>EBITDA_Sensitivity_Factor</f>
        <v>1</v>
      </c>
      <c r="R42" s="1">
        <f>EBITDA_Sensitivity_Factor</f>
        <v>1</v>
      </c>
      <c r="S42" s="1">
        <f>EBITDA_Sensitivity_Factor</f>
        <v>1</v>
      </c>
      <c r="T42" s="1">
        <f>EBITDA_Sensitivity_Factor</f>
        <v>1</v>
      </c>
      <c r="U42" s="1">
        <f>EBITDA_Sensitivity_Factor</f>
        <v>1</v>
      </c>
      <c r="V42" s="1">
        <f>EBITDA_Sensitivity_Factor</f>
        <v>1</v>
      </c>
      <c r="W42" s="1">
        <f>EBITDA_Sensitivity_Factor</f>
        <v>1</v>
      </c>
      <c r="X42" s="1">
        <f>EBITDA_Sensitivity_Factor</f>
        <v>1</v>
      </c>
      <c r="Y42" s="1">
        <f>EBITDA_Sensitivity_Factor</f>
        <v>1</v>
      </c>
    </row>
    <row r="43" spans="1:25">
      <c r="D43" t="s">
        <v>45</v>
      </c>
      <c r="F43">
        <f>F41*F42*F36</f>
        <v>95</v>
      </c>
      <c r="G43">
        <f t="shared" ref="G43:Y43" si="3">G41*G42*G36</f>
        <v>109.24999999999999</v>
      </c>
      <c r="H43">
        <f t="shared" si="3"/>
        <v>131.09999999999997</v>
      </c>
      <c r="I43">
        <f t="shared" si="3"/>
        <v>154.69799999999995</v>
      </c>
      <c r="J43">
        <f t="shared" si="3"/>
        <v>177.90269999999995</v>
      </c>
      <c r="K43">
        <f t="shared" si="3"/>
        <v>204.58810499999993</v>
      </c>
      <c r="L43">
        <f t="shared" si="3"/>
        <v>225.04691549999993</v>
      </c>
      <c r="M43">
        <f t="shared" si="3"/>
        <v>240.80019958499994</v>
      </c>
      <c r="N43">
        <f t="shared" si="3"/>
        <v>248.02420557254993</v>
      </c>
      <c r="O43">
        <f t="shared" si="3"/>
        <v>255.46493173972644</v>
      </c>
      <c r="P43">
        <f t="shared" si="3"/>
        <v>0</v>
      </c>
      <c r="Q43">
        <f t="shared" si="3"/>
        <v>0</v>
      </c>
      <c r="R43">
        <f t="shared" si="3"/>
        <v>0</v>
      </c>
      <c r="S43">
        <f t="shared" si="3"/>
        <v>0</v>
      </c>
      <c r="T43">
        <f t="shared" si="3"/>
        <v>0</v>
      </c>
      <c r="U43">
        <f t="shared" si="3"/>
        <v>0</v>
      </c>
      <c r="V43">
        <f t="shared" si="3"/>
        <v>0</v>
      </c>
      <c r="W43">
        <f t="shared" si="3"/>
        <v>0</v>
      </c>
      <c r="X43">
        <f t="shared" si="3"/>
        <v>0</v>
      </c>
      <c r="Y43">
        <f t="shared" si="3"/>
        <v>0</v>
      </c>
    </row>
    <row r="45" spans="1:25">
      <c r="D45" t="s">
        <v>5</v>
      </c>
      <c r="E45">
        <f>Cap_Exp</f>
        <v>20</v>
      </c>
      <c r="F45">
        <f>Cap_Exp</f>
        <v>20</v>
      </c>
      <c r="G45">
        <f>Cap_Exp</f>
        <v>20</v>
      </c>
      <c r="H45">
        <f>Cap_Exp</f>
        <v>20</v>
      </c>
      <c r="I45">
        <f>Cap_Exp</f>
        <v>20</v>
      </c>
      <c r="J45">
        <f>Cap_Exp</f>
        <v>20</v>
      </c>
      <c r="K45">
        <f>Cap_Exp</f>
        <v>20</v>
      </c>
      <c r="L45">
        <f>Cap_Exp</f>
        <v>20</v>
      </c>
      <c r="M45">
        <f>Cap_Exp</f>
        <v>20</v>
      </c>
      <c r="N45">
        <f>Cap_Exp</f>
        <v>20</v>
      </c>
      <c r="O45">
        <f>Cap_Exp</f>
        <v>20</v>
      </c>
      <c r="P45">
        <f>Cap_Exp</f>
        <v>20</v>
      </c>
      <c r="Q45">
        <f>Cap_Exp</f>
        <v>20</v>
      </c>
      <c r="R45">
        <f>Cap_Exp</f>
        <v>20</v>
      </c>
      <c r="S45">
        <f>Cap_Exp</f>
        <v>20</v>
      </c>
      <c r="T45">
        <f>Cap_Exp</f>
        <v>20</v>
      </c>
      <c r="U45">
        <f>Cap_Exp</f>
        <v>20</v>
      </c>
      <c r="V45">
        <f>Cap_Exp</f>
        <v>20</v>
      </c>
      <c r="W45">
        <f>Cap_Exp</f>
        <v>20</v>
      </c>
      <c r="X45">
        <f>Cap_Exp</f>
        <v>20</v>
      </c>
      <c r="Y45">
        <f>Cap_Exp</f>
        <v>20</v>
      </c>
    </row>
    <row r="46" spans="1:25">
      <c r="D46" t="s">
        <v>42</v>
      </c>
      <c r="E46">
        <v>1</v>
      </c>
      <c r="F46">
        <f>E46*(1+Growth_in_Cap_Exp)</f>
        <v>1.02</v>
      </c>
      <c r="G46">
        <f>F46*(1+Growth_in_Cap_Exp)</f>
        <v>1.0404</v>
      </c>
      <c r="H46">
        <f>G46*(1+Growth_in_Cap_Exp)</f>
        <v>1.0612079999999999</v>
      </c>
      <c r="I46">
        <f>H46*(1+Growth_in_Cap_Exp)</f>
        <v>1.08243216</v>
      </c>
      <c r="J46">
        <f>I46*(1+Growth_in_Cap_Exp)</f>
        <v>1.1040808032</v>
      </c>
      <c r="K46">
        <f>J46*(1+Growth_in_Cap_Exp)</f>
        <v>1.1261624192640001</v>
      </c>
      <c r="L46">
        <f>K46*(1+Growth_in_Cap_Exp)</f>
        <v>1.14868566764928</v>
      </c>
      <c r="M46">
        <f>L46*(1+Growth_in_Cap_Exp)</f>
        <v>1.1716593810022657</v>
      </c>
      <c r="N46">
        <f>M46*(1+Growth_in_Cap_Exp)</f>
        <v>1.1950925686223111</v>
      </c>
      <c r="O46">
        <f>N46*(1+Growth_in_Cap_Exp)</f>
        <v>1.2189944199947573</v>
      </c>
      <c r="P46">
        <f>O46*(1+Growth_in_Cap_Exp)</f>
        <v>1.2433743083946525</v>
      </c>
      <c r="Q46">
        <f>P46*(1+Growth_in_Cap_Exp)</f>
        <v>1.2682417945625455</v>
      </c>
      <c r="R46">
        <f>Q46*(1+Growth_in_Cap_Exp)</f>
        <v>1.2936066304537963</v>
      </c>
      <c r="S46">
        <f>R46*(1+Growth_in_Cap_Exp)</f>
        <v>1.3194787630628724</v>
      </c>
      <c r="T46">
        <f>S46*(1+Growth_in_Cap_Exp)</f>
        <v>1.3458683383241299</v>
      </c>
      <c r="U46">
        <f>T46*(1+Growth_in_Cap_Exp)</f>
        <v>1.3727857050906125</v>
      </c>
      <c r="V46">
        <f>U46*(1+Growth_in_Cap_Exp)</f>
        <v>1.4002414191924248</v>
      </c>
      <c r="W46">
        <f>V46*(1+Growth_in_Cap_Exp)</f>
        <v>1.4282462475762734</v>
      </c>
      <c r="X46">
        <f>W46*(1+Growth_in_Cap_Exp)</f>
        <v>1.4568111725277988</v>
      </c>
      <c r="Y46">
        <f>X46*(1+Growth_in_Cap_Exp)</f>
        <v>1.4859473959783549</v>
      </c>
    </row>
    <row r="47" spans="1:25">
      <c r="D47" t="s">
        <v>46</v>
      </c>
      <c r="F47">
        <f>F45*F46*F36</f>
        <v>20.399999999999999</v>
      </c>
      <c r="G47">
        <f t="shared" ref="G47:Y47" si="4">G45*G46*G36</f>
        <v>20.808</v>
      </c>
      <c r="H47">
        <f t="shared" si="4"/>
        <v>21.224159999999998</v>
      </c>
      <c r="I47">
        <f t="shared" si="4"/>
        <v>21.648643199999999</v>
      </c>
      <c r="J47">
        <f t="shared" si="4"/>
        <v>22.081616064000002</v>
      </c>
      <c r="K47">
        <f t="shared" si="4"/>
        <v>22.523248385280002</v>
      </c>
      <c r="L47">
        <f t="shared" si="4"/>
        <v>22.973713352985602</v>
      </c>
      <c r="M47">
        <f t="shared" si="4"/>
        <v>23.433187620045317</v>
      </c>
      <c r="N47">
        <f t="shared" si="4"/>
        <v>23.90185137244622</v>
      </c>
      <c r="O47">
        <f t="shared" si="4"/>
        <v>24.379888399895147</v>
      </c>
      <c r="P47">
        <f t="shared" si="4"/>
        <v>0</v>
      </c>
      <c r="Q47">
        <f t="shared" si="4"/>
        <v>0</v>
      </c>
      <c r="R47">
        <f t="shared" si="4"/>
        <v>0</v>
      </c>
      <c r="S47">
        <f t="shared" si="4"/>
        <v>0</v>
      </c>
      <c r="T47">
        <f t="shared" si="4"/>
        <v>0</v>
      </c>
      <c r="U47">
        <f t="shared" si="4"/>
        <v>0</v>
      </c>
      <c r="V47">
        <f t="shared" si="4"/>
        <v>0</v>
      </c>
      <c r="W47">
        <f t="shared" si="4"/>
        <v>0</v>
      </c>
      <c r="X47">
        <f t="shared" si="4"/>
        <v>0</v>
      </c>
      <c r="Y47">
        <f t="shared" si="4"/>
        <v>0</v>
      </c>
    </row>
    <row r="49" spans="1:25">
      <c r="D49" t="s">
        <v>47</v>
      </c>
      <c r="E49">
        <f>Exit_EV_EBITDA</f>
        <v>10</v>
      </c>
      <c r="F49">
        <f>Exit_EV_EBITDA</f>
        <v>10</v>
      </c>
      <c r="G49">
        <f>Exit_EV_EBITDA</f>
        <v>10</v>
      </c>
      <c r="H49">
        <f>Exit_EV_EBITDA</f>
        <v>10</v>
      </c>
      <c r="I49">
        <f>Exit_EV_EBITDA</f>
        <v>10</v>
      </c>
      <c r="J49">
        <f>Exit_EV_EBITDA</f>
        <v>10</v>
      </c>
      <c r="K49">
        <f>Exit_EV_EBITDA</f>
        <v>10</v>
      </c>
      <c r="L49">
        <f>Exit_EV_EBITDA</f>
        <v>10</v>
      </c>
      <c r="M49">
        <f>Exit_EV_EBITDA</f>
        <v>10</v>
      </c>
      <c r="N49">
        <f>Exit_EV_EBITDA</f>
        <v>10</v>
      </c>
      <c r="O49">
        <f>Exit_EV_EBITDA</f>
        <v>10</v>
      </c>
      <c r="P49">
        <f>Exit_EV_EBITDA</f>
        <v>10</v>
      </c>
      <c r="Q49">
        <f>Exit_EV_EBITDA</f>
        <v>10</v>
      </c>
      <c r="R49">
        <f>Exit_EV_EBITDA</f>
        <v>10</v>
      </c>
      <c r="S49">
        <f>Exit_EV_EBITDA</f>
        <v>10</v>
      </c>
      <c r="T49">
        <f>Exit_EV_EBITDA</f>
        <v>10</v>
      </c>
      <c r="U49">
        <f>Exit_EV_EBITDA</f>
        <v>10</v>
      </c>
      <c r="V49">
        <f>Exit_EV_EBITDA</f>
        <v>10</v>
      </c>
      <c r="W49">
        <f>Exit_EV_EBITDA</f>
        <v>10</v>
      </c>
      <c r="X49">
        <f>Exit_EV_EBITDA</f>
        <v>10</v>
      </c>
      <c r="Y49">
        <f>Exit_EV_EBITDA</f>
        <v>10</v>
      </c>
    </row>
    <row r="50" spans="1:25">
      <c r="D50" t="s">
        <v>48</v>
      </c>
      <c r="F50">
        <f>F49*F43*F37</f>
        <v>0</v>
      </c>
      <c r="G50">
        <f t="shared" ref="G50:Y50" si="5">G49*G43*G37</f>
        <v>0</v>
      </c>
      <c r="H50">
        <f t="shared" si="5"/>
        <v>0</v>
      </c>
      <c r="I50">
        <f t="shared" si="5"/>
        <v>0</v>
      </c>
      <c r="J50">
        <f t="shared" si="5"/>
        <v>0</v>
      </c>
      <c r="K50">
        <f t="shared" si="5"/>
        <v>0</v>
      </c>
      <c r="L50">
        <f t="shared" si="5"/>
        <v>0</v>
      </c>
      <c r="M50">
        <f t="shared" si="5"/>
        <v>0</v>
      </c>
      <c r="N50">
        <f t="shared" si="5"/>
        <v>0</v>
      </c>
      <c r="O50">
        <f t="shared" si="5"/>
        <v>2554.6493173972644</v>
      </c>
      <c r="P50">
        <f t="shared" si="5"/>
        <v>0</v>
      </c>
      <c r="Q50">
        <f t="shared" si="5"/>
        <v>0</v>
      </c>
      <c r="R50">
        <f t="shared" si="5"/>
        <v>0</v>
      </c>
      <c r="S50">
        <f t="shared" si="5"/>
        <v>0</v>
      </c>
      <c r="T50">
        <f t="shared" si="5"/>
        <v>0</v>
      </c>
      <c r="U50">
        <f t="shared" si="5"/>
        <v>0</v>
      </c>
      <c r="V50">
        <f t="shared" si="5"/>
        <v>0</v>
      </c>
      <c r="W50">
        <f t="shared" si="5"/>
        <v>0</v>
      </c>
      <c r="X50">
        <f t="shared" si="5"/>
        <v>0</v>
      </c>
      <c r="Y50">
        <f t="shared" si="5"/>
        <v>0</v>
      </c>
    </row>
    <row r="52" spans="1:25">
      <c r="A52" t="s">
        <v>49</v>
      </c>
    </row>
    <row r="54" spans="1:25">
      <c r="C54" t="s">
        <v>50</v>
      </c>
    </row>
    <row r="55" spans="1:25">
      <c r="D55" t="s">
        <v>51</v>
      </c>
      <c r="E55">
        <f>EV_EBITDA*EBITDA</f>
        <v>1000</v>
      </c>
    </row>
    <row r="57" spans="1:25">
      <c r="C57" t="s">
        <v>52</v>
      </c>
    </row>
    <row r="58" spans="1:25">
      <c r="D58" t="s">
        <v>53</v>
      </c>
      <c r="E58">
        <f>Senior_Debt_EBITDA*EBITDA</f>
        <v>400</v>
      </c>
    </row>
    <row r="59" spans="1:25">
      <c r="D59" t="s">
        <v>54</v>
      </c>
      <c r="E59">
        <f>Sub_Debt_EBITDA*EBITDA</f>
        <v>200</v>
      </c>
    </row>
    <row r="60" spans="1:25">
      <c r="D60" t="s">
        <v>55</v>
      </c>
      <c r="E60">
        <f>E55-E58-E59</f>
        <v>400</v>
      </c>
    </row>
    <row r="61" spans="1:25">
      <c r="D61" t="s">
        <v>56</v>
      </c>
      <c r="E61">
        <f>SUM(E58:E60)</f>
        <v>1000</v>
      </c>
    </row>
    <row r="63" spans="1:25">
      <c r="D63" t="s">
        <v>57</v>
      </c>
      <c r="E63" t="b">
        <f>E61=E55</f>
        <v>1</v>
      </c>
    </row>
    <row r="65" spans="1:5">
      <c r="A65" t="s">
        <v>58</v>
      </c>
    </row>
    <row r="67" spans="1:5">
      <c r="C67" t="s">
        <v>59</v>
      </c>
    </row>
    <row r="68" spans="1:5">
      <c r="D68" t="s">
        <v>60</v>
      </c>
      <c r="E68">
        <f>EBITDA*Working_Capital_to_EBITDA</f>
        <v>5</v>
      </c>
    </row>
    <row r="69" spans="1:5">
      <c r="D69" t="s">
        <v>61</v>
      </c>
      <c r="E69">
        <f>E55-E68</f>
        <v>995</v>
      </c>
    </row>
    <row r="70" spans="1:5">
      <c r="D70" t="s">
        <v>62</v>
      </c>
      <c r="E70">
        <v>0</v>
      </c>
    </row>
    <row r="71" spans="1:5">
      <c r="D71" t="s">
        <v>56</v>
      </c>
      <c r="E71">
        <f>SUM(E68:E70)</f>
        <v>1000</v>
      </c>
    </row>
    <row r="73" spans="1:5">
      <c r="C73" t="s">
        <v>63</v>
      </c>
    </row>
    <row r="74" spans="1:5">
      <c r="D74" t="s">
        <v>53</v>
      </c>
      <c r="E74">
        <f>E58</f>
        <v>400</v>
      </c>
    </row>
    <row r="75" spans="1:5">
      <c r="D75" t="s">
        <v>54</v>
      </c>
      <c r="E75">
        <f>E59</f>
        <v>200</v>
      </c>
    </row>
    <row r="76" spans="1:5">
      <c r="D76" t="s">
        <v>55</v>
      </c>
      <c r="E76">
        <f>E60</f>
        <v>400</v>
      </c>
    </row>
    <row r="77" spans="1:5">
      <c r="D77" t="s">
        <v>56</v>
      </c>
      <c r="E77">
        <f>SUM(E74:E76)</f>
        <v>1000</v>
      </c>
    </row>
    <row r="79" spans="1:5">
      <c r="D79" t="s">
        <v>57</v>
      </c>
      <c r="E79" t="b">
        <f>E77=E71</f>
        <v>1</v>
      </c>
    </row>
    <row r="81" spans="1:25">
      <c r="A81" t="s">
        <v>64</v>
      </c>
    </row>
    <row r="83" spans="1:25">
      <c r="B83" t="s">
        <v>53</v>
      </c>
    </row>
    <row r="84" spans="1:25">
      <c r="C84" t="s">
        <v>65</v>
      </c>
      <c r="F84">
        <f>E86</f>
        <v>400</v>
      </c>
      <c r="G84">
        <f t="shared" ref="G84:Y84" si="6">F86</f>
        <v>353.15</v>
      </c>
      <c r="H84">
        <f t="shared" si="6"/>
        <v>290.14100000000002</v>
      </c>
      <c r="I84">
        <f t="shared" si="6"/>
        <v>205.52847600000004</v>
      </c>
      <c r="J84">
        <f t="shared" si="6"/>
        <v>96.408642256000093</v>
      </c>
      <c r="K84">
        <f t="shared" si="6"/>
        <v>0</v>
      </c>
      <c r="L84">
        <f t="shared" si="6"/>
        <v>0</v>
      </c>
      <c r="M84">
        <f t="shared" si="6"/>
        <v>0</v>
      </c>
      <c r="N84">
        <f t="shared" si="6"/>
        <v>0</v>
      </c>
      <c r="O84">
        <f t="shared" si="6"/>
        <v>0</v>
      </c>
      <c r="P84">
        <f t="shared" si="6"/>
        <v>0</v>
      </c>
      <c r="Q84">
        <f t="shared" si="6"/>
        <v>0</v>
      </c>
      <c r="R84">
        <f t="shared" si="6"/>
        <v>0</v>
      </c>
      <c r="S84">
        <f t="shared" si="6"/>
        <v>0</v>
      </c>
      <c r="T84">
        <f t="shared" si="6"/>
        <v>0</v>
      </c>
      <c r="U84">
        <f t="shared" si="6"/>
        <v>0</v>
      </c>
      <c r="V84">
        <f t="shared" si="6"/>
        <v>0</v>
      </c>
      <c r="W84">
        <f t="shared" si="6"/>
        <v>0</v>
      </c>
      <c r="X84">
        <f t="shared" si="6"/>
        <v>0</v>
      </c>
      <c r="Y84">
        <f t="shared" si="6"/>
        <v>0</v>
      </c>
    </row>
    <row r="85" spans="1:25" ht="15.75" thickBot="1">
      <c r="C85" t="s">
        <v>66</v>
      </c>
      <c r="F85">
        <f>F144</f>
        <v>46.849999999999994</v>
      </c>
      <c r="G85">
        <f t="shared" ref="G85:Y85" si="7">G144</f>
        <v>63.008999999999972</v>
      </c>
      <c r="H85">
        <f t="shared" si="7"/>
        <v>84.612523999999979</v>
      </c>
      <c r="I85">
        <f t="shared" si="7"/>
        <v>109.11983374399995</v>
      </c>
      <c r="J85">
        <f t="shared" si="7"/>
        <v>96.408642256000093</v>
      </c>
      <c r="K85">
        <f t="shared" si="7"/>
        <v>0</v>
      </c>
      <c r="L85">
        <f t="shared" si="7"/>
        <v>0</v>
      </c>
      <c r="M85">
        <f t="shared" si="7"/>
        <v>0</v>
      </c>
      <c r="N85">
        <f t="shared" si="7"/>
        <v>0</v>
      </c>
      <c r="O85">
        <f t="shared" si="7"/>
        <v>0</v>
      </c>
      <c r="P85">
        <f t="shared" si="7"/>
        <v>0</v>
      </c>
      <c r="Q85">
        <f t="shared" si="7"/>
        <v>0</v>
      </c>
      <c r="R85">
        <f t="shared" si="7"/>
        <v>0</v>
      </c>
      <c r="S85">
        <f t="shared" si="7"/>
        <v>0</v>
      </c>
      <c r="T85">
        <f t="shared" si="7"/>
        <v>0</v>
      </c>
      <c r="U85">
        <f t="shared" si="7"/>
        <v>0</v>
      </c>
      <c r="V85">
        <f t="shared" si="7"/>
        <v>0</v>
      </c>
      <c r="W85">
        <f t="shared" si="7"/>
        <v>0</v>
      </c>
      <c r="X85">
        <f t="shared" si="7"/>
        <v>0</v>
      </c>
      <c r="Y85">
        <f t="shared" si="7"/>
        <v>0</v>
      </c>
    </row>
    <row r="86" spans="1:25" ht="15.75" thickBot="1">
      <c r="C86" t="s">
        <v>67</v>
      </c>
      <c r="E86" s="5">
        <f>E74</f>
        <v>400</v>
      </c>
      <c r="F86">
        <f>F84-F85</f>
        <v>353.15</v>
      </c>
      <c r="G86">
        <f t="shared" ref="G86:Y86" si="8">G84-G85</f>
        <v>290.14100000000002</v>
      </c>
      <c r="H86">
        <f t="shared" si="8"/>
        <v>205.52847600000004</v>
      </c>
      <c r="I86">
        <f t="shared" si="8"/>
        <v>96.408642256000093</v>
      </c>
      <c r="J86">
        <f t="shared" si="8"/>
        <v>0</v>
      </c>
      <c r="K86">
        <f t="shared" si="8"/>
        <v>0</v>
      </c>
      <c r="L86">
        <f t="shared" si="8"/>
        <v>0</v>
      </c>
      <c r="M86">
        <f t="shared" si="8"/>
        <v>0</v>
      </c>
      <c r="N86">
        <f t="shared" si="8"/>
        <v>0</v>
      </c>
      <c r="O86">
        <f t="shared" si="8"/>
        <v>0</v>
      </c>
      <c r="P86">
        <f t="shared" si="8"/>
        <v>0</v>
      </c>
      <c r="Q86">
        <f t="shared" si="8"/>
        <v>0</v>
      </c>
      <c r="R86">
        <f t="shared" si="8"/>
        <v>0</v>
      </c>
      <c r="S86">
        <f t="shared" si="8"/>
        <v>0</v>
      </c>
      <c r="T86">
        <f t="shared" si="8"/>
        <v>0</v>
      </c>
      <c r="U86">
        <f t="shared" si="8"/>
        <v>0</v>
      </c>
      <c r="V86">
        <f t="shared" si="8"/>
        <v>0</v>
      </c>
      <c r="W86">
        <f t="shared" si="8"/>
        <v>0</v>
      </c>
      <c r="X86">
        <f t="shared" si="8"/>
        <v>0</v>
      </c>
      <c r="Y86">
        <f t="shared" si="8"/>
        <v>0</v>
      </c>
    </row>
    <row r="88" spans="1:25">
      <c r="C88" t="s">
        <v>68</v>
      </c>
      <c r="F88">
        <f>Interest_Rate_on_Senior_Debt</f>
        <v>7.0000000000000007E-2</v>
      </c>
      <c r="G88">
        <f>Interest_Rate_on_Senior_Debt</f>
        <v>7.0000000000000007E-2</v>
      </c>
      <c r="H88">
        <f>Interest_Rate_on_Senior_Debt</f>
        <v>7.0000000000000007E-2</v>
      </c>
      <c r="I88">
        <f>Interest_Rate_on_Senior_Debt</f>
        <v>7.0000000000000007E-2</v>
      </c>
      <c r="J88">
        <f>Interest_Rate_on_Senior_Debt</f>
        <v>7.0000000000000007E-2</v>
      </c>
      <c r="K88">
        <f>Interest_Rate_on_Senior_Debt</f>
        <v>7.0000000000000007E-2</v>
      </c>
      <c r="L88">
        <f>Interest_Rate_on_Senior_Debt</f>
        <v>7.0000000000000007E-2</v>
      </c>
      <c r="M88">
        <f>Interest_Rate_on_Senior_Debt</f>
        <v>7.0000000000000007E-2</v>
      </c>
      <c r="N88">
        <f>Interest_Rate_on_Senior_Debt</f>
        <v>7.0000000000000007E-2</v>
      </c>
      <c r="O88">
        <f>Interest_Rate_on_Senior_Debt</f>
        <v>7.0000000000000007E-2</v>
      </c>
      <c r="P88">
        <f>Interest_Rate_on_Senior_Debt</f>
        <v>7.0000000000000007E-2</v>
      </c>
      <c r="Q88">
        <f>Interest_Rate_on_Senior_Debt</f>
        <v>7.0000000000000007E-2</v>
      </c>
      <c r="R88">
        <f>Interest_Rate_on_Senior_Debt</f>
        <v>7.0000000000000007E-2</v>
      </c>
      <c r="S88">
        <f>Interest_Rate_on_Senior_Debt</f>
        <v>7.0000000000000007E-2</v>
      </c>
      <c r="T88">
        <f>Interest_Rate_on_Senior_Debt</f>
        <v>7.0000000000000007E-2</v>
      </c>
      <c r="U88">
        <f>Interest_Rate_on_Senior_Debt</f>
        <v>7.0000000000000007E-2</v>
      </c>
      <c r="V88">
        <f>Interest_Rate_on_Senior_Debt</f>
        <v>7.0000000000000007E-2</v>
      </c>
      <c r="W88">
        <f>Interest_Rate_on_Senior_Debt</f>
        <v>7.0000000000000007E-2</v>
      </c>
      <c r="X88">
        <f>Interest_Rate_on_Senior_Debt</f>
        <v>7.0000000000000007E-2</v>
      </c>
      <c r="Y88">
        <f>Interest_Rate_on_Senior_Debt</f>
        <v>7.0000000000000007E-2</v>
      </c>
    </row>
    <row r="89" spans="1:25">
      <c r="C89" t="s">
        <v>69</v>
      </c>
      <c r="F89">
        <f>F88*F84</f>
        <v>28.000000000000004</v>
      </c>
      <c r="G89">
        <f t="shared" ref="G89:Y89" si="9">G88*G84</f>
        <v>24.720500000000001</v>
      </c>
      <c r="H89">
        <f t="shared" si="9"/>
        <v>20.309870000000004</v>
      </c>
      <c r="I89">
        <f t="shared" si="9"/>
        <v>14.386993320000004</v>
      </c>
      <c r="J89">
        <f t="shared" si="9"/>
        <v>6.7486049579200067</v>
      </c>
      <c r="K89">
        <f t="shared" si="9"/>
        <v>0</v>
      </c>
      <c r="L89">
        <f t="shared" si="9"/>
        <v>0</v>
      </c>
      <c r="M89">
        <f t="shared" si="9"/>
        <v>0</v>
      </c>
      <c r="N89">
        <f t="shared" si="9"/>
        <v>0</v>
      </c>
      <c r="O89">
        <f t="shared" si="9"/>
        <v>0</v>
      </c>
      <c r="P89">
        <f t="shared" si="9"/>
        <v>0</v>
      </c>
      <c r="Q89">
        <f t="shared" si="9"/>
        <v>0</v>
      </c>
      <c r="R89">
        <f t="shared" si="9"/>
        <v>0</v>
      </c>
      <c r="S89">
        <f t="shared" si="9"/>
        <v>0</v>
      </c>
      <c r="T89">
        <f t="shared" si="9"/>
        <v>0</v>
      </c>
      <c r="U89">
        <f t="shared" si="9"/>
        <v>0</v>
      </c>
      <c r="V89">
        <f t="shared" si="9"/>
        <v>0</v>
      </c>
      <c r="W89">
        <f t="shared" si="9"/>
        <v>0</v>
      </c>
      <c r="X89">
        <f t="shared" si="9"/>
        <v>0</v>
      </c>
      <c r="Y89">
        <f t="shared" si="9"/>
        <v>0</v>
      </c>
    </row>
    <row r="91" spans="1:25">
      <c r="B91" t="s">
        <v>54</v>
      </c>
    </row>
    <row r="92" spans="1:25">
      <c r="C92" t="s">
        <v>65</v>
      </c>
      <c r="F92">
        <f>E94</f>
        <v>200</v>
      </c>
      <c r="G92">
        <f t="shared" ref="G92:Y92" si="10">F94</f>
        <v>230</v>
      </c>
      <c r="H92">
        <f t="shared" si="10"/>
        <v>264.5</v>
      </c>
      <c r="I92">
        <f t="shared" si="10"/>
        <v>304.17500000000001</v>
      </c>
      <c r="J92">
        <f t="shared" si="10"/>
        <v>349.80124999999998</v>
      </c>
      <c r="K92">
        <f t="shared" si="10"/>
        <v>363.71380925433613</v>
      </c>
      <c r="L92">
        <f t="shared" si="10"/>
        <v>256.53487680749652</v>
      </c>
      <c r="M92">
        <f t="shared" si="10"/>
        <v>120.04132682588897</v>
      </c>
      <c r="N92">
        <f t="shared" si="10"/>
        <v>0</v>
      </c>
      <c r="O92">
        <f t="shared" si="10"/>
        <v>0</v>
      </c>
      <c r="P92">
        <f t="shared" si="10"/>
        <v>0</v>
      </c>
      <c r="Q92">
        <f t="shared" si="10"/>
        <v>0</v>
      </c>
      <c r="R92">
        <f t="shared" si="10"/>
        <v>0</v>
      </c>
      <c r="S92">
        <f t="shared" si="10"/>
        <v>0</v>
      </c>
      <c r="T92">
        <f t="shared" si="10"/>
        <v>0</v>
      </c>
      <c r="U92">
        <f t="shared" si="10"/>
        <v>0</v>
      </c>
      <c r="V92">
        <f t="shared" si="10"/>
        <v>0</v>
      </c>
      <c r="W92">
        <f t="shared" si="10"/>
        <v>0</v>
      </c>
      <c r="X92">
        <f t="shared" si="10"/>
        <v>0</v>
      </c>
      <c r="Y92">
        <f t="shared" si="10"/>
        <v>0</v>
      </c>
    </row>
    <row r="93" spans="1:25" ht="15.75" thickBot="1">
      <c r="C93" t="s">
        <v>66</v>
      </c>
      <c r="F93">
        <f>F148</f>
        <v>-30</v>
      </c>
      <c r="G93">
        <f t="shared" ref="G93:Y93" si="11">G148</f>
        <v>-34.5</v>
      </c>
      <c r="H93">
        <f t="shared" si="11"/>
        <v>-39.674999999999997</v>
      </c>
      <c r="I93">
        <f t="shared" si="11"/>
        <v>-45.626249999999999</v>
      </c>
      <c r="J93">
        <f t="shared" si="11"/>
        <v>-13.912559254336131</v>
      </c>
      <c r="K93">
        <f t="shared" si="11"/>
        <v>107.1789324468396</v>
      </c>
      <c r="L93">
        <f t="shared" si="11"/>
        <v>136.49354998160754</v>
      </c>
      <c r="M93">
        <f t="shared" si="11"/>
        <v>120.04132682588897</v>
      </c>
      <c r="N93">
        <f t="shared" si="11"/>
        <v>0</v>
      </c>
      <c r="O93">
        <f t="shared" si="11"/>
        <v>0</v>
      </c>
      <c r="P93">
        <f t="shared" si="11"/>
        <v>0</v>
      </c>
      <c r="Q93">
        <f t="shared" si="11"/>
        <v>0</v>
      </c>
      <c r="R93">
        <f t="shared" si="11"/>
        <v>0</v>
      </c>
      <c r="S93">
        <f t="shared" si="11"/>
        <v>0</v>
      </c>
      <c r="T93">
        <f t="shared" si="11"/>
        <v>0</v>
      </c>
      <c r="U93">
        <f t="shared" si="11"/>
        <v>0</v>
      </c>
      <c r="V93">
        <f t="shared" si="11"/>
        <v>0</v>
      </c>
      <c r="W93">
        <f t="shared" si="11"/>
        <v>0</v>
      </c>
      <c r="X93">
        <f t="shared" si="11"/>
        <v>0</v>
      </c>
      <c r="Y93">
        <f t="shared" si="11"/>
        <v>0</v>
      </c>
    </row>
    <row r="94" spans="1:25" ht="15.75" thickBot="1">
      <c r="C94" t="s">
        <v>67</v>
      </c>
      <c r="E94" s="5">
        <f>E75</f>
        <v>200</v>
      </c>
      <c r="F94">
        <f>F92-F93</f>
        <v>230</v>
      </c>
      <c r="G94">
        <f t="shared" ref="G94:Y94" si="12">G92-G93</f>
        <v>264.5</v>
      </c>
      <c r="H94">
        <f t="shared" si="12"/>
        <v>304.17500000000001</v>
      </c>
      <c r="I94">
        <f t="shared" si="12"/>
        <v>349.80124999999998</v>
      </c>
      <c r="J94">
        <f t="shared" si="12"/>
        <v>363.71380925433613</v>
      </c>
      <c r="K94">
        <f t="shared" si="12"/>
        <v>256.53487680749652</v>
      </c>
      <c r="L94">
        <f t="shared" si="12"/>
        <v>120.04132682588897</v>
      </c>
      <c r="M94">
        <f t="shared" si="12"/>
        <v>0</v>
      </c>
      <c r="N94">
        <f t="shared" si="12"/>
        <v>0</v>
      </c>
      <c r="O94">
        <f t="shared" si="12"/>
        <v>0</v>
      </c>
      <c r="P94">
        <f t="shared" si="12"/>
        <v>0</v>
      </c>
      <c r="Q94">
        <f t="shared" si="12"/>
        <v>0</v>
      </c>
      <c r="R94">
        <f t="shared" si="12"/>
        <v>0</v>
      </c>
      <c r="S94">
        <f t="shared" si="12"/>
        <v>0</v>
      </c>
      <c r="T94">
        <f t="shared" si="12"/>
        <v>0</v>
      </c>
      <c r="U94">
        <f t="shared" si="12"/>
        <v>0</v>
      </c>
      <c r="V94">
        <f t="shared" si="12"/>
        <v>0</v>
      </c>
      <c r="W94">
        <f t="shared" si="12"/>
        <v>0</v>
      </c>
      <c r="X94">
        <f t="shared" si="12"/>
        <v>0</v>
      </c>
      <c r="Y94">
        <f t="shared" si="12"/>
        <v>0</v>
      </c>
    </row>
    <row r="96" spans="1:25">
      <c r="C96" t="s">
        <v>68</v>
      </c>
      <c r="F96">
        <f>Interest_Rate_on_Sub_Debt</f>
        <v>0.15</v>
      </c>
      <c r="G96">
        <f>Interest_Rate_on_Sub_Debt</f>
        <v>0.15</v>
      </c>
      <c r="H96">
        <f>Interest_Rate_on_Sub_Debt</f>
        <v>0.15</v>
      </c>
      <c r="I96">
        <f>Interest_Rate_on_Sub_Debt</f>
        <v>0.15</v>
      </c>
      <c r="J96">
        <f>Interest_Rate_on_Sub_Debt</f>
        <v>0.15</v>
      </c>
      <c r="K96">
        <f>Interest_Rate_on_Sub_Debt</f>
        <v>0.15</v>
      </c>
      <c r="L96">
        <f>Interest_Rate_on_Sub_Debt</f>
        <v>0.15</v>
      </c>
      <c r="M96">
        <f>Interest_Rate_on_Sub_Debt</f>
        <v>0.15</v>
      </c>
      <c r="N96">
        <f>Interest_Rate_on_Sub_Debt</f>
        <v>0.15</v>
      </c>
      <c r="O96">
        <f>Interest_Rate_on_Sub_Debt</f>
        <v>0.15</v>
      </c>
      <c r="P96">
        <f>Interest_Rate_on_Sub_Debt</f>
        <v>0.15</v>
      </c>
      <c r="Q96">
        <f>Interest_Rate_on_Sub_Debt</f>
        <v>0.15</v>
      </c>
      <c r="R96">
        <f>Interest_Rate_on_Sub_Debt</f>
        <v>0.15</v>
      </c>
      <c r="S96">
        <f>Interest_Rate_on_Sub_Debt</f>
        <v>0.15</v>
      </c>
      <c r="T96">
        <f>Interest_Rate_on_Sub_Debt</f>
        <v>0.15</v>
      </c>
      <c r="U96">
        <f>Interest_Rate_on_Sub_Debt</f>
        <v>0.15</v>
      </c>
      <c r="V96">
        <f>Interest_Rate_on_Sub_Debt</f>
        <v>0.15</v>
      </c>
      <c r="W96">
        <f>Interest_Rate_on_Sub_Debt</f>
        <v>0.15</v>
      </c>
      <c r="X96">
        <f>Interest_Rate_on_Sub_Debt</f>
        <v>0.15</v>
      </c>
      <c r="Y96">
        <f>Interest_Rate_on_Sub_Debt</f>
        <v>0.15</v>
      </c>
    </row>
    <row r="97" spans="1:25">
      <c r="C97" t="s">
        <v>69</v>
      </c>
      <c r="F97">
        <f>F96*F92</f>
        <v>30</v>
      </c>
      <c r="G97">
        <f t="shared" ref="G97:Y97" si="13">G96*G92</f>
        <v>34.5</v>
      </c>
      <c r="H97">
        <f t="shared" si="13"/>
        <v>39.674999999999997</v>
      </c>
      <c r="I97">
        <f t="shared" si="13"/>
        <v>45.626249999999999</v>
      </c>
      <c r="J97">
        <f t="shared" si="13"/>
        <v>52.470187499999994</v>
      </c>
      <c r="K97">
        <f t="shared" si="13"/>
        <v>54.557071388150419</v>
      </c>
      <c r="L97">
        <f t="shared" si="13"/>
        <v>38.480231521124473</v>
      </c>
      <c r="M97">
        <f t="shared" si="13"/>
        <v>18.006199023883344</v>
      </c>
      <c r="N97">
        <f t="shared" si="13"/>
        <v>0</v>
      </c>
      <c r="O97">
        <f t="shared" si="13"/>
        <v>0</v>
      </c>
      <c r="P97">
        <f t="shared" si="13"/>
        <v>0</v>
      </c>
      <c r="Q97">
        <f t="shared" si="13"/>
        <v>0</v>
      </c>
      <c r="R97">
        <f t="shared" si="13"/>
        <v>0</v>
      </c>
      <c r="S97">
        <f t="shared" si="13"/>
        <v>0</v>
      </c>
      <c r="T97">
        <f t="shared" si="13"/>
        <v>0</v>
      </c>
      <c r="U97">
        <f t="shared" si="13"/>
        <v>0</v>
      </c>
      <c r="V97">
        <f t="shared" si="13"/>
        <v>0</v>
      </c>
      <c r="W97">
        <f t="shared" si="13"/>
        <v>0</v>
      </c>
      <c r="X97">
        <f t="shared" si="13"/>
        <v>0</v>
      </c>
      <c r="Y97">
        <f t="shared" si="13"/>
        <v>0</v>
      </c>
    </row>
    <row r="99" spans="1:25">
      <c r="A99" t="s">
        <v>70</v>
      </c>
    </row>
    <row r="101" spans="1:25">
      <c r="C101" t="s">
        <v>24</v>
      </c>
      <c r="F101">
        <f>F43</f>
        <v>95</v>
      </c>
      <c r="G101">
        <f t="shared" ref="G101:Y101" si="14">G43</f>
        <v>109.24999999999999</v>
      </c>
      <c r="H101">
        <f t="shared" si="14"/>
        <v>131.09999999999997</v>
      </c>
      <c r="I101">
        <f t="shared" si="14"/>
        <v>154.69799999999995</v>
      </c>
      <c r="J101">
        <f t="shared" si="14"/>
        <v>177.90269999999995</v>
      </c>
      <c r="K101">
        <f t="shared" si="14"/>
        <v>204.58810499999993</v>
      </c>
      <c r="L101">
        <f t="shared" si="14"/>
        <v>225.04691549999993</v>
      </c>
      <c r="M101">
        <f t="shared" si="14"/>
        <v>240.80019958499994</v>
      </c>
      <c r="N101">
        <f t="shared" si="14"/>
        <v>248.02420557254993</v>
      </c>
      <c r="O101">
        <f t="shared" si="14"/>
        <v>255.46493173972644</v>
      </c>
      <c r="P101">
        <f t="shared" si="14"/>
        <v>0</v>
      </c>
      <c r="Q101">
        <f t="shared" si="14"/>
        <v>0</v>
      </c>
      <c r="R101">
        <f t="shared" si="14"/>
        <v>0</v>
      </c>
      <c r="S101">
        <f t="shared" si="14"/>
        <v>0</v>
      </c>
      <c r="T101">
        <f t="shared" si="14"/>
        <v>0</v>
      </c>
      <c r="U101">
        <f t="shared" si="14"/>
        <v>0</v>
      </c>
      <c r="V101">
        <f t="shared" si="14"/>
        <v>0</v>
      </c>
      <c r="W101">
        <f t="shared" si="14"/>
        <v>0</v>
      </c>
      <c r="X101">
        <f t="shared" si="14"/>
        <v>0</v>
      </c>
      <c r="Y101">
        <f t="shared" si="14"/>
        <v>0</v>
      </c>
    </row>
    <row r="102" spans="1:25" ht="15.75" thickBot="1">
      <c r="C102" t="s">
        <v>71</v>
      </c>
      <c r="F102">
        <f>Working_Capital_to_EBITDA</f>
        <v>0.05</v>
      </c>
      <c r="G102">
        <f>Working_Capital_to_EBITDA</f>
        <v>0.05</v>
      </c>
      <c r="H102">
        <f>Working_Capital_to_EBITDA</f>
        <v>0.05</v>
      </c>
      <c r="I102">
        <f>Working_Capital_to_EBITDA</f>
        <v>0.05</v>
      </c>
      <c r="J102">
        <f>Working_Capital_to_EBITDA</f>
        <v>0.05</v>
      </c>
      <c r="K102">
        <f>Working_Capital_to_EBITDA</f>
        <v>0.05</v>
      </c>
      <c r="L102">
        <f>Working_Capital_to_EBITDA</f>
        <v>0.05</v>
      </c>
      <c r="M102">
        <f>Working_Capital_to_EBITDA</f>
        <v>0.05</v>
      </c>
      <c r="N102">
        <f>Working_Capital_to_EBITDA</f>
        <v>0.05</v>
      </c>
      <c r="O102">
        <f>Working_Capital_to_EBITDA</f>
        <v>0.05</v>
      </c>
      <c r="P102">
        <f>Working_Capital_to_EBITDA</f>
        <v>0.05</v>
      </c>
      <c r="Q102">
        <f>Working_Capital_to_EBITDA</f>
        <v>0.05</v>
      </c>
      <c r="R102">
        <f>Working_Capital_to_EBITDA</f>
        <v>0.05</v>
      </c>
      <c r="S102">
        <f>Working_Capital_to_EBITDA</f>
        <v>0.05</v>
      </c>
      <c r="T102">
        <f>Working_Capital_to_EBITDA</f>
        <v>0.05</v>
      </c>
      <c r="U102">
        <f>Working_Capital_to_EBITDA</f>
        <v>0.05</v>
      </c>
      <c r="V102">
        <f>Working_Capital_to_EBITDA</f>
        <v>0.05</v>
      </c>
      <c r="W102">
        <f>Working_Capital_to_EBITDA</f>
        <v>0.05</v>
      </c>
      <c r="X102">
        <f>Working_Capital_to_EBITDA</f>
        <v>0.05</v>
      </c>
      <c r="Y102">
        <f>Working_Capital_to_EBITDA</f>
        <v>0.05</v>
      </c>
    </row>
    <row r="103" spans="1:25" ht="15.75" thickBot="1">
      <c r="C103" t="s">
        <v>72</v>
      </c>
      <c r="E103" s="5">
        <f>E68</f>
        <v>5</v>
      </c>
      <c r="F103">
        <f>F101*F102</f>
        <v>4.75</v>
      </c>
      <c r="G103">
        <f t="shared" ref="G103:Y103" si="15">G101*G102</f>
        <v>5.4624999999999995</v>
      </c>
      <c r="H103">
        <f t="shared" si="15"/>
        <v>6.5549999999999988</v>
      </c>
      <c r="I103">
        <f t="shared" si="15"/>
        <v>7.7348999999999979</v>
      </c>
      <c r="J103">
        <f t="shared" si="15"/>
        <v>8.895134999999998</v>
      </c>
      <c r="K103">
        <f t="shared" si="15"/>
        <v>10.229405249999997</v>
      </c>
      <c r="L103">
        <f t="shared" si="15"/>
        <v>11.252345774999997</v>
      </c>
      <c r="M103">
        <f t="shared" si="15"/>
        <v>12.040009979249998</v>
      </c>
      <c r="N103">
        <f t="shared" si="15"/>
        <v>12.401210278627497</v>
      </c>
      <c r="O103">
        <f t="shared" si="15"/>
        <v>12.773246586986323</v>
      </c>
      <c r="P103">
        <f t="shared" si="15"/>
        <v>0</v>
      </c>
      <c r="Q103">
        <f t="shared" si="15"/>
        <v>0</v>
      </c>
      <c r="R103">
        <f t="shared" si="15"/>
        <v>0</v>
      </c>
      <c r="S103">
        <f t="shared" si="15"/>
        <v>0</v>
      </c>
      <c r="T103">
        <f t="shared" si="15"/>
        <v>0</v>
      </c>
      <c r="U103">
        <f t="shared" si="15"/>
        <v>0</v>
      </c>
      <c r="V103">
        <f t="shared" si="15"/>
        <v>0</v>
      </c>
      <c r="W103">
        <f t="shared" si="15"/>
        <v>0</v>
      </c>
      <c r="X103">
        <f t="shared" si="15"/>
        <v>0</v>
      </c>
      <c r="Y103">
        <f t="shared" si="15"/>
        <v>0</v>
      </c>
    </row>
    <row r="105" spans="1:25">
      <c r="C105" t="s">
        <v>73</v>
      </c>
      <c r="F105">
        <f>(F103-E103)*F36</f>
        <v>-0.25</v>
      </c>
      <c r="G105">
        <f t="shared" ref="G105:Y105" si="16">(G103-F103)*G36</f>
        <v>0.71249999999999947</v>
      </c>
      <c r="H105">
        <f t="shared" si="16"/>
        <v>1.0924999999999994</v>
      </c>
      <c r="I105">
        <f t="shared" si="16"/>
        <v>1.1798999999999991</v>
      </c>
      <c r="J105">
        <f t="shared" si="16"/>
        <v>1.1602350000000001</v>
      </c>
      <c r="K105">
        <f t="shared" si="16"/>
        <v>1.3342702499999994</v>
      </c>
      <c r="L105">
        <f t="shared" si="16"/>
        <v>1.0229405249999992</v>
      </c>
      <c r="M105">
        <f t="shared" si="16"/>
        <v>0.78766420425000128</v>
      </c>
      <c r="N105">
        <f t="shared" si="16"/>
        <v>0.36120029937749898</v>
      </c>
      <c r="O105">
        <f t="shared" si="16"/>
        <v>0.37203630835882606</v>
      </c>
      <c r="P105">
        <f t="shared" si="16"/>
        <v>0</v>
      </c>
      <c r="Q105">
        <f t="shared" si="16"/>
        <v>0</v>
      </c>
      <c r="R105">
        <f t="shared" si="16"/>
        <v>0</v>
      </c>
      <c r="S105">
        <f t="shared" si="16"/>
        <v>0</v>
      </c>
      <c r="T105">
        <f t="shared" si="16"/>
        <v>0</v>
      </c>
      <c r="U105">
        <f t="shared" si="16"/>
        <v>0</v>
      </c>
      <c r="V105">
        <f t="shared" si="16"/>
        <v>0</v>
      </c>
      <c r="W105">
        <f t="shared" si="16"/>
        <v>0</v>
      </c>
      <c r="X105">
        <f t="shared" si="16"/>
        <v>0</v>
      </c>
      <c r="Y105">
        <f t="shared" si="16"/>
        <v>0</v>
      </c>
    </row>
    <row r="107" spans="1:25">
      <c r="A107" t="s">
        <v>61</v>
      </c>
    </row>
    <row r="108" spans="1:25">
      <c r="B108" t="s">
        <v>74</v>
      </c>
    </row>
    <row r="109" spans="1:25">
      <c r="C109" t="s">
        <v>65</v>
      </c>
      <c r="F109">
        <f>E111</f>
        <v>995</v>
      </c>
      <c r="G109">
        <f t="shared" ref="G109:Y109" si="17">F111</f>
        <v>1015.4</v>
      </c>
      <c r="H109">
        <f t="shared" si="17"/>
        <v>1036.2080000000001</v>
      </c>
      <c r="I109">
        <f t="shared" si="17"/>
        <v>1057.4321600000001</v>
      </c>
      <c r="J109">
        <f t="shared" si="17"/>
        <v>1079.0808032</v>
      </c>
      <c r="K109">
        <f t="shared" si="17"/>
        <v>1101.1624192639999</v>
      </c>
      <c r="L109">
        <f t="shared" si="17"/>
        <v>1123.68566764928</v>
      </c>
      <c r="M109">
        <f t="shared" si="17"/>
        <v>1146.6593810022657</v>
      </c>
      <c r="N109">
        <f t="shared" si="17"/>
        <v>1170.0925686223111</v>
      </c>
      <c r="O109">
        <f t="shared" si="17"/>
        <v>1193.9944199947572</v>
      </c>
      <c r="P109">
        <f t="shared" si="17"/>
        <v>1218.3743083946524</v>
      </c>
      <c r="Q109">
        <f t="shared" si="17"/>
        <v>1218.3743083946524</v>
      </c>
      <c r="R109">
        <f t="shared" si="17"/>
        <v>1218.3743083946524</v>
      </c>
      <c r="S109">
        <f t="shared" si="17"/>
        <v>1218.3743083946524</v>
      </c>
      <c r="T109">
        <f t="shared" si="17"/>
        <v>1218.3743083946524</v>
      </c>
      <c r="U109">
        <f t="shared" si="17"/>
        <v>1218.3743083946524</v>
      </c>
      <c r="V109">
        <f t="shared" si="17"/>
        <v>1218.3743083946524</v>
      </c>
      <c r="W109">
        <f t="shared" si="17"/>
        <v>1218.3743083946524</v>
      </c>
      <c r="X109">
        <f t="shared" si="17"/>
        <v>1218.3743083946524</v>
      </c>
      <c r="Y109">
        <f t="shared" si="17"/>
        <v>1218.3743083946524</v>
      </c>
    </row>
    <row r="110" spans="1:25" ht="15.75" thickBot="1">
      <c r="C110" t="s">
        <v>75</v>
      </c>
      <c r="F110">
        <f>F47</f>
        <v>20.399999999999999</v>
      </c>
      <c r="G110">
        <f t="shared" ref="G110:Y110" si="18">G47</f>
        <v>20.808</v>
      </c>
      <c r="H110">
        <f t="shared" si="18"/>
        <v>21.224159999999998</v>
      </c>
      <c r="I110">
        <f t="shared" si="18"/>
        <v>21.648643199999999</v>
      </c>
      <c r="J110">
        <f t="shared" si="18"/>
        <v>22.081616064000002</v>
      </c>
      <c r="K110">
        <f t="shared" si="18"/>
        <v>22.523248385280002</v>
      </c>
      <c r="L110">
        <f t="shared" si="18"/>
        <v>22.973713352985602</v>
      </c>
      <c r="M110">
        <f t="shared" si="18"/>
        <v>23.433187620045317</v>
      </c>
      <c r="N110">
        <f t="shared" si="18"/>
        <v>23.90185137244622</v>
      </c>
      <c r="O110">
        <f t="shared" si="18"/>
        <v>24.379888399895147</v>
      </c>
      <c r="P110">
        <f t="shared" si="18"/>
        <v>0</v>
      </c>
      <c r="Q110">
        <f t="shared" si="18"/>
        <v>0</v>
      </c>
      <c r="R110">
        <f t="shared" si="18"/>
        <v>0</v>
      </c>
      <c r="S110">
        <f t="shared" si="18"/>
        <v>0</v>
      </c>
      <c r="T110">
        <f t="shared" si="18"/>
        <v>0</v>
      </c>
      <c r="U110">
        <f t="shared" si="18"/>
        <v>0</v>
      </c>
      <c r="V110">
        <f t="shared" si="18"/>
        <v>0</v>
      </c>
      <c r="W110">
        <f t="shared" si="18"/>
        <v>0</v>
      </c>
      <c r="X110">
        <f t="shared" si="18"/>
        <v>0</v>
      </c>
      <c r="Y110">
        <f t="shared" si="18"/>
        <v>0</v>
      </c>
    </row>
    <row r="111" spans="1:25" ht="15.75" thickBot="1">
      <c r="C111" t="s">
        <v>67</v>
      </c>
      <c r="E111" s="5">
        <f>E69</f>
        <v>995</v>
      </c>
      <c r="F111">
        <f>F109+F110</f>
        <v>1015.4</v>
      </c>
      <c r="G111">
        <f t="shared" ref="G111:Y111" si="19">G109+G110</f>
        <v>1036.2080000000001</v>
      </c>
      <c r="H111">
        <f t="shared" si="19"/>
        <v>1057.4321600000001</v>
      </c>
      <c r="I111">
        <f t="shared" si="19"/>
        <v>1079.0808032</v>
      </c>
      <c r="J111">
        <f t="shared" si="19"/>
        <v>1101.1624192639999</v>
      </c>
      <c r="K111">
        <f t="shared" si="19"/>
        <v>1123.68566764928</v>
      </c>
      <c r="L111">
        <f t="shared" si="19"/>
        <v>1146.6593810022657</v>
      </c>
      <c r="M111">
        <f t="shared" si="19"/>
        <v>1170.0925686223111</v>
      </c>
      <c r="N111">
        <f t="shared" si="19"/>
        <v>1193.9944199947572</v>
      </c>
      <c r="O111">
        <f t="shared" si="19"/>
        <v>1218.3743083946524</v>
      </c>
      <c r="P111">
        <f t="shared" si="19"/>
        <v>1218.3743083946524</v>
      </c>
      <c r="Q111">
        <f t="shared" si="19"/>
        <v>1218.3743083946524</v>
      </c>
      <c r="R111">
        <f t="shared" si="19"/>
        <v>1218.3743083946524</v>
      </c>
      <c r="S111">
        <f t="shared" si="19"/>
        <v>1218.3743083946524</v>
      </c>
      <c r="T111">
        <f t="shared" si="19"/>
        <v>1218.3743083946524</v>
      </c>
      <c r="U111">
        <f t="shared" si="19"/>
        <v>1218.3743083946524</v>
      </c>
      <c r="V111">
        <f t="shared" si="19"/>
        <v>1218.3743083946524</v>
      </c>
      <c r="W111">
        <f t="shared" si="19"/>
        <v>1218.3743083946524</v>
      </c>
      <c r="X111">
        <f t="shared" si="19"/>
        <v>1218.3743083946524</v>
      </c>
      <c r="Y111">
        <f t="shared" si="19"/>
        <v>1218.3743083946524</v>
      </c>
    </row>
    <row r="113" spans="1:25">
      <c r="C113" t="s">
        <v>76</v>
      </c>
      <c r="F113">
        <f>Dep_Rate</f>
        <v>0.05</v>
      </c>
      <c r="G113">
        <f>Dep_Rate</f>
        <v>0.05</v>
      </c>
      <c r="H113">
        <f>Dep_Rate</f>
        <v>0.05</v>
      </c>
      <c r="I113">
        <f>Dep_Rate</f>
        <v>0.05</v>
      </c>
      <c r="J113">
        <f>Dep_Rate</f>
        <v>0.05</v>
      </c>
      <c r="K113">
        <f>Dep_Rate</f>
        <v>0.05</v>
      </c>
      <c r="L113">
        <f>Dep_Rate</f>
        <v>0.05</v>
      </c>
      <c r="M113">
        <f>Dep_Rate</f>
        <v>0.05</v>
      </c>
      <c r="N113">
        <f>Dep_Rate</f>
        <v>0.05</v>
      </c>
      <c r="O113">
        <f>Dep_Rate</f>
        <v>0.05</v>
      </c>
      <c r="P113">
        <f>Dep_Rate</f>
        <v>0.05</v>
      </c>
      <c r="Q113">
        <f>Dep_Rate</f>
        <v>0.05</v>
      </c>
      <c r="R113">
        <f>Dep_Rate</f>
        <v>0.05</v>
      </c>
      <c r="S113">
        <f>Dep_Rate</f>
        <v>0.05</v>
      </c>
      <c r="T113">
        <f>Dep_Rate</f>
        <v>0.05</v>
      </c>
      <c r="U113">
        <f>Dep_Rate</f>
        <v>0.05</v>
      </c>
      <c r="V113">
        <f>Dep_Rate</f>
        <v>0.05</v>
      </c>
      <c r="W113">
        <f>Dep_Rate</f>
        <v>0.05</v>
      </c>
      <c r="X113">
        <f>Dep_Rate</f>
        <v>0.05</v>
      </c>
      <c r="Y113">
        <f>Dep_Rate</f>
        <v>0.05</v>
      </c>
    </row>
    <row r="114" spans="1:25">
      <c r="C114" t="s">
        <v>77</v>
      </c>
      <c r="F114">
        <f>F113*F109*F36</f>
        <v>49.75</v>
      </c>
      <c r="G114">
        <f t="shared" ref="G114:Y114" si="20">G113*G109*G36</f>
        <v>50.77</v>
      </c>
      <c r="H114">
        <f t="shared" si="20"/>
        <v>51.810400000000008</v>
      </c>
      <c r="I114">
        <f t="shared" si="20"/>
        <v>52.871608000000009</v>
      </c>
      <c r="J114">
        <f t="shared" si="20"/>
        <v>53.954040160000005</v>
      </c>
      <c r="K114">
        <f t="shared" si="20"/>
        <v>55.058120963199997</v>
      </c>
      <c r="L114">
        <f t="shared" si="20"/>
        <v>56.184283382464002</v>
      </c>
      <c r="M114">
        <f t="shared" si="20"/>
        <v>57.332969050113292</v>
      </c>
      <c r="N114">
        <f t="shared" si="20"/>
        <v>58.504628431115556</v>
      </c>
      <c r="O114">
        <f t="shared" si="20"/>
        <v>59.699720999737863</v>
      </c>
      <c r="P114">
        <f t="shared" si="20"/>
        <v>0</v>
      </c>
      <c r="Q114">
        <f t="shared" si="20"/>
        <v>0</v>
      </c>
      <c r="R114">
        <f t="shared" si="20"/>
        <v>0</v>
      </c>
      <c r="S114">
        <f t="shared" si="20"/>
        <v>0</v>
      </c>
      <c r="T114">
        <f t="shared" si="20"/>
        <v>0</v>
      </c>
      <c r="U114">
        <f t="shared" si="20"/>
        <v>0</v>
      </c>
      <c r="V114">
        <f t="shared" si="20"/>
        <v>0</v>
      </c>
      <c r="W114">
        <f t="shared" si="20"/>
        <v>0</v>
      </c>
      <c r="X114">
        <f t="shared" si="20"/>
        <v>0</v>
      </c>
      <c r="Y114">
        <f t="shared" si="20"/>
        <v>0</v>
      </c>
    </row>
    <row r="116" spans="1:25">
      <c r="B116" t="s">
        <v>62</v>
      </c>
    </row>
    <row r="117" spans="1:25">
      <c r="C117" t="s">
        <v>78</v>
      </c>
      <c r="F117">
        <f>E119</f>
        <v>0</v>
      </c>
      <c r="G117">
        <f t="shared" ref="G117:Y117" si="21">F119</f>
        <v>49.75</v>
      </c>
      <c r="H117">
        <f t="shared" si="21"/>
        <v>100.52000000000001</v>
      </c>
      <c r="I117">
        <f t="shared" si="21"/>
        <v>152.33040000000003</v>
      </c>
      <c r="J117">
        <f t="shared" si="21"/>
        <v>205.20200800000003</v>
      </c>
      <c r="K117">
        <f t="shared" si="21"/>
        <v>259.15604816000007</v>
      </c>
      <c r="L117">
        <f t="shared" si="21"/>
        <v>314.21416912320007</v>
      </c>
      <c r="M117">
        <f t="shared" si="21"/>
        <v>370.39845250566407</v>
      </c>
      <c r="N117">
        <f t="shared" si="21"/>
        <v>427.73142155577739</v>
      </c>
      <c r="O117">
        <f t="shared" si="21"/>
        <v>486.23604998689297</v>
      </c>
      <c r="P117">
        <f t="shared" si="21"/>
        <v>545.93577098663081</v>
      </c>
      <c r="Q117">
        <f t="shared" si="21"/>
        <v>545.93577098663081</v>
      </c>
      <c r="R117">
        <f t="shared" si="21"/>
        <v>545.93577098663081</v>
      </c>
      <c r="S117">
        <f t="shared" si="21"/>
        <v>545.93577098663081</v>
      </c>
      <c r="T117">
        <f t="shared" si="21"/>
        <v>545.93577098663081</v>
      </c>
      <c r="U117">
        <f t="shared" si="21"/>
        <v>545.93577098663081</v>
      </c>
      <c r="V117">
        <f t="shared" si="21"/>
        <v>545.93577098663081</v>
      </c>
      <c r="W117">
        <f t="shared" si="21"/>
        <v>545.93577098663081</v>
      </c>
      <c r="X117">
        <f t="shared" si="21"/>
        <v>545.93577098663081</v>
      </c>
      <c r="Y117">
        <f t="shared" si="21"/>
        <v>545.93577098663081</v>
      </c>
    </row>
    <row r="118" spans="1:25" ht="15.75" thickBot="1">
      <c r="C118" t="s">
        <v>79</v>
      </c>
      <c r="F118">
        <f>F114</f>
        <v>49.75</v>
      </c>
      <c r="G118">
        <f t="shared" ref="G118:Y118" si="22">G114</f>
        <v>50.77</v>
      </c>
      <c r="H118">
        <f t="shared" si="22"/>
        <v>51.810400000000008</v>
      </c>
      <c r="I118">
        <f t="shared" si="22"/>
        <v>52.871608000000009</v>
      </c>
      <c r="J118">
        <f t="shared" si="22"/>
        <v>53.954040160000005</v>
      </c>
      <c r="K118">
        <f t="shared" si="22"/>
        <v>55.058120963199997</v>
      </c>
      <c r="L118">
        <f t="shared" si="22"/>
        <v>56.184283382464002</v>
      </c>
      <c r="M118">
        <f t="shared" si="22"/>
        <v>57.332969050113292</v>
      </c>
      <c r="N118">
        <f t="shared" si="22"/>
        <v>58.504628431115556</v>
      </c>
      <c r="O118">
        <f t="shared" si="22"/>
        <v>59.699720999737863</v>
      </c>
      <c r="P118">
        <f t="shared" si="22"/>
        <v>0</v>
      </c>
      <c r="Q118">
        <f t="shared" si="22"/>
        <v>0</v>
      </c>
      <c r="R118">
        <f t="shared" si="22"/>
        <v>0</v>
      </c>
      <c r="S118">
        <f t="shared" si="22"/>
        <v>0</v>
      </c>
      <c r="T118">
        <f t="shared" si="22"/>
        <v>0</v>
      </c>
      <c r="U118">
        <f t="shared" si="22"/>
        <v>0</v>
      </c>
      <c r="V118">
        <f t="shared" si="22"/>
        <v>0</v>
      </c>
      <c r="W118">
        <f t="shared" si="22"/>
        <v>0</v>
      </c>
      <c r="X118">
        <f t="shared" si="22"/>
        <v>0</v>
      </c>
      <c r="Y118">
        <f t="shared" si="22"/>
        <v>0</v>
      </c>
    </row>
    <row r="119" spans="1:25" ht="15.75" thickBot="1">
      <c r="C119" t="s">
        <v>67</v>
      </c>
      <c r="E119" s="5">
        <f>E70</f>
        <v>0</v>
      </c>
      <c r="F119">
        <f>SUM(F117:F118)</f>
        <v>49.75</v>
      </c>
      <c r="G119">
        <f t="shared" ref="G119:Y119" si="23">SUM(G117:G118)</f>
        <v>100.52000000000001</v>
      </c>
      <c r="H119">
        <f t="shared" si="23"/>
        <v>152.33040000000003</v>
      </c>
      <c r="I119">
        <f t="shared" si="23"/>
        <v>205.20200800000003</v>
      </c>
      <c r="J119">
        <f t="shared" si="23"/>
        <v>259.15604816000007</v>
      </c>
      <c r="K119">
        <f t="shared" si="23"/>
        <v>314.21416912320007</v>
      </c>
      <c r="L119">
        <f t="shared" si="23"/>
        <v>370.39845250566407</v>
      </c>
      <c r="M119">
        <f t="shared" si="23"/>
        <v>427.73142155577739</v>
      </c>
      <c r="N119">
        <f t="shared" si="23"/>
        <v>486.23604998689297</v>
      </c>
      <c r="O119">
        <f t="shared" si="23"/>
        <v>545.93577098663081</v>
      </c>
      <c r="P119">
        <f t="shared" si="23"/>
        <v>545.93577098663081</v>
      </c>
      <c r="Q119">
        <f t="shared" si="23"/>
        <v>545.93577098663081</v>
      </c>
      <c r="R119">
        <f t="shared" si="23"/>
        <v>545.93577098663081</v>
      </c>
      <c r="S119">
        <f t="shared" si="23"/>
        <v>545.93577098663081</v>
      </c>
      <c r="T119">
        <f t="shared" si="23"/>
        <v>545.93577098663081</v>
      </c>
      <c r="U119">
        <f t="shared" si="23"/>
        <v>545.93577098663081</v>
      </c>
      <c r="V119">
        <f t="shared" si="23"/>
        <v>545.93577098663081</v>
      </c>
      <c r="W119">
        <f t="shared" si="23"/>
        <v>545.93577098663081</v>
      </c>
      <c r="X119">
        <f t="shared" si="23"/>
        <v>545.93577098663081</v>
      </c>
      <c r="Y119">
        <f t="shared" si="23"/>
        <v>545.93577098663081</v>
      </c>
    </row>
    <row r="122" spans="1:25">
      <c r="A122" t="s">
        <v>80</v>
      </c>
    </row>
    <row r="124" spans="1:25">
      <c r="C124" t="s">
        <v>24</v>
      </c>
      <c r="F124" s="6">
        <f>F43</f>
        <v>95</v>
      </c>
      <c r="G124" s="6">
        <f t="shared" ref="G124:Y124" si="24">G43</f>
        <v>109.24999999999999</v>
      </c>
      <c r="H124" s="6">
        <f t="shared" si="24"/>
        <v>131.09999999999997</v>
      </c>
      <c r="I124" s="6">
        <f t="shared" si="24"/>
        <v>154.69799999999995</v>
      </c>
      <c r="J124" s="6">
        <f t="shared" si="24"/>
        <v>177.90269999999995</v>
      </c>
      <c r="K124" s="6">
        <f t="shared" si="24"/>
        <v>204.58810499999993</v>
      </c>
      <c r="L124" s="6">
        <f t="shared" si="24"/>
        <v>225.04691549999993</v>
      </c>
      <c r="M124" s="6">
        <f t="shared" si="24"/>
        <v>240.80019958499994</v>
      </c>
      <c r="N124" s="6">
        <f t="shared" si="24"/>
        <v>248.02420557254993</v>
      </c>
      <c r="O124" s="6">
        <f t="shared" si="24"/>
        <v>255.46493173972644</v>
      </c>
      <c r="P124" s="6">
        <f t="shared" si="24"/>
        <v>0</v>
      </c>
      <c r="Q124" s="6">
        <f t="shared" si="24"/>
        <v>0</v>
      </c>
      <c r="R124" s="6">
        <f t="shared" si="24"/>
        <v>0</v>
      </c>
      <c r="S124" s="6">
        <f t="shared" si="24"/>
        <v>0</v>
      </c>
      <c r="T124" s="6">
        <f t="shared" si="24"/>
        <v>0</v>
      </c>
      <c r="U124" s="6">
        <f t="shared" si="24"/>
        <v>0</v>
      </c>
      <c r="V124" s="6">
        <f t="shared" si="24"/>
        <v>0</v>
      </c>
      <c r="W124" s="6">
        <f t="shared" si="24"/>
        <v>0</v>
      </c>
      <c r="X124" s="6">
        <f t="shared" si="24"/>
        <v>0</v>
      </c>
      <c r="Y124" s="6">
        <f t="shared" si="24"/>
        <v>0</v>
      </c>
    </row>
    <row r="125" spans="1:25">
      <c r="C125" t="s">
        <v>81</v>
      </c>
      <c r="F125" s="6">
        <f>F114</f>
        <v>49.75</v>
      </c>
      <c r="G125" s="6">
        <f t="shared" ref="G125:Y125" si="25">G114</f>
        <v>50.77</v>
      </c>
      <c r="H125" s="6">
        <f t="shared" si="25"/>
        <v>51.810400000000008</v>
      </c>
      <c r="I125" s="6">
        <f t="shared" si="25"/>
        <v>52.871608000000009</v>
      </c>
      <c r="J125" s="6">
        <f t="shared" si="25"/>
        <v>53.954040160000005</v>
      </c>
      <c r="K125" s="6">
        <f t="shared" si="25"/>
        <v>55.058120963199997</v>
      </c>
      <c r="L125" s="6">
        <f t="shared" si="25"/>
        <v>56.184283382464002</v>
      </c>
      <c r="M125" s="6">
        <f t="shared" si="25"/>
        <v>57.332969050113292</v>
      </c>
      <c r="N125" s="6">
        <f t="shared" si="25"/>
        <v>58.504628431115556</v>
      </c>
      <c r="O125" s="6">
        <f t="shared" si="25"/>
        <v>59.699720999737863</v>
      </c>
      <c r="P125" s="6">
        <f t="shared" si="25"/>
        <v>0</v>
      </c>
      <c r="Q125" s="6">
        <f t="shared" si="25"/>
        <v>0</v>
      </c>
      <c r="R125" s="6">
        <f t="shared" si="25"/>
        <v>0</v>
      </c>
      <c r="S125" s="6">
        <f t="shared" si="25"/>
        <v>0</v>
      </c>
      <c r="T125" s="6">
        <f t="shared" si="25"/>
        <v>0</v>
      </c>
      <c r="U125" s="6">
        <f t="shared" si="25"/>
        <v>0</v>
      </c>
      <c r="V125" s="6">
        <f t="shared" si="25"/>
        <v>0</v>
      </c>
      <c r="W125" s="6">
        <f t="shared" si="25"/>
        <v>0</v>
      </c>
      <c r="X125" s="6">
        <f t="shared" si="25"/>
        <v>0</v>
      </c>
      <c r="Y125" s="6">
        <f t="shared" si="25"/>
        <v>0</v>
      </c>
    </row>
    <row r="126" spans="1:25">
      <c r="C126" s="7" t="s">
        <v>82</v>
      </c>
      <c r="D126" s="7"/>
      <c r="E126" s="7"/>
      <c r="F126" s="8">
        <f>F124-F125</f>
        <v>45.25</v>
      </c>
      <c r="G126" s="8">
        <f t="shared" ref="G126:Y126" si="26">G124-G125</f>
        <v>58.479999999999983</v>
      </c>
      <c r="H126" s="8">
        <f t="shared" si="26"/>
        <v>79.28959999999995</v>
      </c>
      <c r="I126" s="8">
        <f t="shared" si="26"/>
        <v>101.82639199999994</v>
      </c>
      <c r="J126" s="8">
        <f t="shared" si="26"/>
        <v>123.94865983999995</v>
      </c>
      <c r="K126" s="8">
        <f t="shared" si="26"/>
        <v>149.52998403679993</v>
      </c>
      <c r="L126" s="8">
        <f t="shared" si="26"/>
        <v>168.86263211753592</v>
      </c>
      <c r="M126" s="8">
        <f t="shared" si="26"/>
        <v>183.46723053488665</v>
      </c>
      <c r="N126" s="8">
        <f t="shared" si="26"/>
        <v>189.51957714143438</v>
      </c>
      <c r="O126" s="8">
        <f t="shared" si="26"/>
        <v>195.76521073998856</v>
      </c>
      <c r="P126" s="8">
        <f t="shared" si="26"/>
        <v>0</v>
      </c>
      <c r="Q126" s="8">
        <f t="shared" si="26"/>
        <v>0</v>
      </c>
      <c r="R126" s="8">
        <f t="shared" si="26"/>
        <v>0</v>
      </c>
      <c r="S126" s="8">
        <f t="shared" si="26"/>
        <v>0</v>
      </c>
      <c r="T126" s="8">
        <f t="shared" si="26"/>
        <v>0</v>
      </c>
      <c r="U126" s="8">
        <f t="shared" si="26"/>
        <v>0</v>
      </c>
      <c r="V126" s="8">
        <f t="shared" si="26"/>
        <v>0</v>
      </c>
      <c r="W126" s="8">
        <f t="shared" si="26"/>
        <v>0</v>
      </c>
      <c r="X126" s="8">
        <f t="shared" si="26"/>
        <v>0</v>
      </c>
      <c r="Y126" s="8">
        <f t="shared" si="26"/>
        <v>0</v>
      </c>
    </row>
    <row r="127" spans="1:25">
      <c r="C127" t="s">
        <v>83</v>
      </c>
      <c r="F127" s="6">
        <f>F89</f>
        <v>28.000000000000004</v>
      </c>
      <c r="G127" s="6">
        <f t="shared" ref="G127:Y127" si="27">G89</f>
        <v>24.720500000000001</v>
      </c>
      <c r="H127" s="6">
        <f t="shared" si="27"/>
        <v>20.309870000000004</v>
      </c>
      <c r="I127" s="6">
        <f t="shared" si="27"/>
        <v>14.386993320000004</v>
      </c>
      <c r="J127" s="6">
        <f t="shared" si="27"/>
        <v>6.7486049579200067</v>
      </c>
      <c r="K127" s="6">
        <f t="shared" si="27"/>
        <v>0</v>
      </c>
      <c r="L127" s="6">
        <f t="shared" si="27"/>
        <v>0</v>
      </c>
      <c r="M127" s="6">
        <f t="shared" si="27"/>
        <v>0</v>
      </c>
      <c r="N127" s="6">
        <f t="shared" si="27"/>
        <v>0</v>
      </c>
      <c r="O127" s="6">
        <f t="shared" si="27"/>
        <v>0</v>
      </c>
      <c r="P127" s="6">
        <f t="shared" si="27"/>
        <v>0</v>
      </c>
      <c r="Q127" s="6">
        <f t="shared" si="27"/>
        <v>0</v>
      </c>
      <c r="R127" s="6">
        <f t="shared" si="27"/>
        <v>0</v>
      </c>
      <c r="S127" s="6">
        <f t="shared" si="27"/>
        <v>0</v>
      </c>
      <c r="T127" s="6">
        <f t="shared" si="27"/>
        <v>0</v>
      </c>
      <c r="U127" s="6">
        <f t="shared" si="27"/>
        <v>0</v>
      </c>
      <c r="V127" s="6">
        <f t="shared" si="27"/>
        <v>0</v>
      </c>
      <c r="W127" s="6">
        <f t="shared" si="27"/>
        <v>0</v>
      </c>
      <c r="X127" s="6">
        <f t="shared" si="27"/>
        <v>0</v>
      </c>
      <c r="Y127" s="6">
        <f t="shared" si="27"/>
        <v>0</v>
      </c>
    </row>
    <row r="128" spans="1:25">
      <c r="C128" t="s">
        <v>84</v>
      </c>
      <c r="F128" s="6">
        <f>F97</f>
        <v>30</v>
      </c>
      <c r="G128" s="6">
        <f t="shared" ref="G128:Y128" si="28">G97</f>
        <v>34.5</v>
      </c>
      <c r="H128" s="6">
        <f t="shared" si="28"/>
        <v>39.674999999999997</v>
      </c>
      <c r="I128" s="6">
        <f t="shared" si="28"/>
        <v>45.626249999999999</v>
      </c>
      <c r="J128" s="6">
        <f t="shared" si="28"/>
        <v>52.470187499999994</v>
      </c>
      <c r="K128" s="6">
        <f t="shared" si="28"/>
        <v>54.557071388150419</v>
      </c>
      <c r="L128" s="6">
        <f t="shared" si="28"/>
        <v>38.480231521124473</v>
      </c>
      <c r="M128" s="6">
        <f t="shared" si="28"/>
        <v>18.006199023883344</v>
      </c>
      <c r="N128" s="6">
        <f t="shared" si="28"/>
        <v>0</v>
      </c>
      <c r="O128" s="6">
        <f t="shared" si="28"/>
        <v>0</v>
      </c>
      <c r="P128" s="6">
        <f t="shared" si="28"/>
        <v>0</v>
      </c>
      <c r="Q128" s="6">
        <f t="shared" si="28"/>
        <v>0</v>
      </c>
      <c r="R128" s="6">
        <f t="shared" si="28"/>
        <v>0</v>
      </c>
      <c r="S128" s="6">
        <f t="shared" si="28"/>
        <v>0</v>
      </c>
      <c r="T128" s="6">
        <f t="shared" si="28"/>
        <v>0</v>
      </c>
      <c r="U128" s="6">
        <f t="shared" si="28"/>
        <v>0</v>
      </c>
      <c r="V128" s="6">
        <f t="shared" si="28"/>
        <v>0</v>
      </c>
      <c r="W128" s="6">
        <f t="shared" si="28"/>
        <v>0</v>
      </c>
      <c r="X128" s="6">
        <f t="shared" si="28"/>
        <v>0</v>
      </c>
      <c r="Y128" s="6">
        <f t="shared" si="28"/>
        <v>0</v>
      </c>
    </row>
    <row r="129" spans="1:25">
      <c r="C129" s="7" t="s">
        <v>85</v>
      </c>
      <c r="D129" s="7"/>
      <c r="E129" s="7"/>
      <c r="F129" s="8">
        <f>F126-F127-F128</f>
        <v>-12.750000000000004</v>
      </c>
      <c r="G129" s="8">
        <f t="shared" ref="G129:Y129" si="29">G126-G127-G128</f>
        <v>-0.74050000000001859</v>
      </c>
      <c r="H129" s="8">
        <f t="shared" si="29"/>
        <v>19.30472999999995</v>
      </c>
      <c r="I129" s="8">
        <f t="shared" si="29"/>
        <v>41.813148679999941</v>
      </c>
      <c r="J129" s="8">
        <f t="shared" si="29"/>
        <v>64.729867382079945</v>
      </c>
      <c r="K129" s="8">
        <f t="shared" si="29"/>
        <v>94.972912648649512</v>
      </c>
      <c r="L129" s="8">
        <f t="shared" si="29"/>
        <v>130.38240059641146</v>
      </c>
      <c r="M129" s="8">
        <f t="shared" si="29"/>
        <v>165.46103151100331</v>
      </c>
      <c r="N129" s="8">
        <f t="shared" si="29"/>
        <v>189.51957714143438</v>
      </c>
      <c r="O129" s="8">
        <f t="shared" si="29"/>
        <v>195.76521073998856</v>
      </c>
      <c r="P129" s="8">
        <f t="shared" si="29"/>
        <v>0</v>
      </c>
      <c r="Q129" s="8">
        <f t="shared" si="29"/>
        <v>0</v>
      </c>
      <c r="R129" s="8">
        <f t="shared" si="29"/>
        <v>0</v>
      </c>
      <c r="S129" s="8">
        <f t="shared" si="29"/>
        <v>0</v>
      </c>
      <c r="T129" s="8">
        <f t="shared" si="29"/>
        <v>0</v>
      </c>
      <c r="U129" s="8">
        <f t="shared" si="29"/>
        <v>0</v>
      </c>
      <c r="V129" s="8">
        <f t="shared" si="29"/>
        <v>0</v>
      </c>
      <c r="W129" s="8">
        <f t="shared" si="29"/>
        <v>0</v>
      </c>
      <c r="X129" s="8">
        <f t="shared" si="29"/>
        <v>0</v>
      </c>
      <c r="Y129" s="8">
        <f t="shared" si="29"/>
        <v>0</v>
      </c>
    </row>
    <row r="130" spans="1:25">
      <c r="C130" t="s">
        <v>86</v>
      </c>
      <c r="F130" s="6">
        <f>MAX(F129*Tax_Rate,0)</f>
        <v>0</v>
      </c>
      <c r="G130" s="6">
        <f>MAX(G129*Tax_Rate,0)</f>
        <v>0</v>
      </c>
      <c r="H130" s="6">
        <f>MAX(H129*Tax_Rate,0)</f>
        <v>3.86094599999999</v>
      </c>
      <c r="I130" s="6">
        <f>MAX(I129*Tax_Rate,0)</f>
        <v>8.3626297359999882</v>
      </c>
      <c r="J130" s="6">
        <f>MAX(J129*Tax_Rate,0)</f>
        <v>12.94597347641599</v>
      </c>
      <c r="K130" s="6">
        <f>MAX(K129*Tax_Rate,0)</f>
        <v>18.994582529729904</v>
      </c>
      <c r="L130" s="6">
        <f>MAX(L129*Tax_Rate,0)</f>
        <v>26.076480119282294</v>
      </c>
      <c r="M130" s="6">
        <f>MAX(M129*Tax_Rate,0)</f>
        <v>33.092206302200665</v>
      </c>
      <c r="N130" s="6">
        <f>MAX(N129*Tax_Rate,0)</f>
        <v>37.903915428286879</v>
      </c>
      <c r="O130" s="6">
        <f>MAX(O129*Tax_Rate,0)</f>
        <v>39.153042147997716</v>
      </c>
      <c r="P130" s="6">
        <f>MAX(P129*Tax_Rate,0)</f>
        <v>0</v>
      </c>
      <c r="Q130" s="6">
        <f>MAX(Q129*Tax_Rate,0)</f>
        <v>0</v>
      </c>
      <c r="R130" s="6">
        <f>MAX(R129*Tax_Rate,0)</f>
        <v>0</v>
      </c>
      <c r="S130" s="6">
        <f>MAX(S129*Tax_Rate,0)</f>
        <v>0</v>
      </c>
      <c r="T130" s="6">
        <f>MAX(T129*Tax_Rate,0)</f>
        <v>0</v>
      </c>
      <c r="U130" s="6">
        <f>MAX(U129*Tax_Rate,0)</f>
        <v>0</v>
      </c>
      <c r="V130" s="6">
        <f>MAX(V129*Tax_Rate,0)</f>
        <v>0</v>
      </c>
      <c r="W130" s="6">
        <f>MAX(W129*Tax_Rate,0)</f>
        <v>0</v>
      </c>
      <c r="X130" s="6">
        <f>MAX(X129*Tax_Rate,0)</f>
        <v>0</v>
      </c>
      <c r="Y130" s="6">
        <f>MAX(Y129*Tax_Rate,0)</f>
        <v>0</v>
      </c>
    </row>
    <row r="131" spans="1:25">
      <c r="C131" t="s">
        <v>87</v>
      </c>
      <c r="F131" s="6">
        <f>F129-F130</f>
        <v>-12.750000000000004</v>
      </c>
      <c r="G131" s="6">
        <f t="shared" ref="G131:Y131" si="30">G129-G130</f>
        <v>-0.74050000000001859</v>
      </c>
      <c r="H131" s="6">
        <f t="shared" si="30"/>
        <v>15.44378399999996</v>
      </c>
      <c r="I131" s="6">
        <f t="shared" si="30"/>
        <v>33.450518943999953</v>
      </c>
      <c r="J131" s="6">
        <f t="shared" si="30"/>
        <v>51.783893905663959</v>
      </c>
      <c r="K131" s="6">
        <f t="shared" si="30"/>
        <v>75.978330118919615</v>
      </c>
      <c r="L131" s="6">
        <f t="shared" si="30"/>
        <v>104.30592047712916</v>
      </c>
      <c r="M131" s="6">
        <f t="shared" si="30"/>
        <v>132.36882520880266</v>
      </c>
      <c r="N131" s="6">
        <f t="shared" si="30"/>
        <v>151.61566171314752</v>
      </c>
      <c r="O131" s="6">
        <f t="shared" si="30"/>
        <v>156.61216859199084</v>
      </c>
      <c r="P131" s="6">
        <f t="shared" si="30"/>
        <v>0</v>
      </c>
      <c r="Q131" s="6">
        <f t="shared" si="30"/>
        <v>0</v>
      </c>
      <c r="R131" s="6">
        <f t="shared" si="30"/>
        <v>0</v>
      </c>
      <c r="S131" s="6">
        <f t="shared" si="30"/>
        <v>0</v>
      </c>
      <c r="T131" s="6">
        <f t="shared" si="30"/>
        <v>0</v>
      </c>
      <c r="U131" s="6">
        <f t="shared" si="30"/>
        <v>0</v>
      </c>
      <c r="V131" s="6">
        <f t="shared" si="30"/>
        <v>0</v>
      </c>
      <c r="W131" s="6">
        <f t="shared" si="30"/>
        <v>0</v>
      </c>
      <c r="X131" s="6">
        <f t="shared" si="30"/>
        <v>0</v>
      </c>
      <c r="Y131" s="6">
        <f t="shared" si="30"/>
        <v>0</v>
      </c>
    </row>
    <row r="132" spans="1:25"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</row>
    <row r="133" spans="1:25">
      <c r="A133" t="s">
        <v>88</v>
      </c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</row>
    <row r="134" spans="1:25"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</row>
    <row r="135" spans="1:25">
      <c r="C135" t="s">
        <v>24</v>
      </c>
      <c r="F135" s="6">
        <f>F124</f>
        <v>95</v>
      </c>
      <c r="G135" s="6">
        <f t="shared" ref="G135:Y135" si="31">G124</f>
        <v>109.24999999999999</v>
      </c>
      <c r="H135" s="6">
        <f t="shared" si="31"/>
        <v>131.09999999999997</v>
      </c>
      <c r="I135" s="6">
        <f t="shared" si="31"/>
        <v>154.69799999999995</v>
      </c>
      <c r="J135" s="6">
        <f t="shared" si="31"/>
        <v>177.90269999999995</v>
      </c>
      <c r="K135" s="6">
        <f t="shared" si="31"/>
        <v>204.58810499999993</v>
      </c>
      <c r="L135" s="6">
        <f t="shared" si="31"/>
        <v>225.04691549999993</v>
      </c>
      <c r="M135" s="6">
        <f t="shared" si="31"/>
        <v>240.80019958499994</v>
      </c>
      <c r="N135" s="6">
        <f t="shared" si="31"/>
        <v>248.02420557254993</v>
      </c>
      <c r="O135" s="6">
        <f t="shared" si="31"/>
        <v>255.46493173972644</v>
      </c>
      <c r="P135" s="6">
        <f t="shared" si="31"/>
        <v>0</v>
      </c>
      <c r="Q135" s="6">
        <f t="shared" si="31"/>
        <v>0</v>
      </c>
      <c r="R135" s="6">
        <f t="shared" si="31"/>
        <v>0</v>
      </c>
      <c r="S135" s="6">
        <f t="shared" si="31"/>
        <v>0</v>
      </c>
      <c r="T135" s="6">
        <f t="shared" si="31"/>
        <v>0</v>
      </c>
      <c r="U135" s="6">
        <f t="shared" si="31"/>
        <v>0</v>
      </c>
      <c r="V135" s="6">
        <f t="shared" si="31"/>
        <v>0</v>
      </c>
      <c r="W135" s="6">
        <f t="shared" si="31"/>
        <v>0</v>
      </c>
      <c r="X135" s="6">
        <f t="shared" si="31"/>
        <v>0</v>
      </c>
      <c r="Y135" s="6">
        <f t="shared" si="31"/>
        <v>0</v>
      </c>
    </row>
    <row r="136" spans="1:25">
      <c r="C136" t="s">
        <v>86</v>
      </c>
      <c r="F136" s="6">
        <f>F130</f>
        <v>0</v>
      </c>
      <c r="G136" s="6">
        <f t="shared" ref="G136:Y136" si="32">G130</f>
        <v>0</v>
      </c>
      <c r="H136" s="6">
        <f t="shared" si="32"/>
        <v>3.86094599999999</v>
      </c>
      <c r="I136" s="6">
        <f t="shared" si="32"/>
        <v>8.3626297359999882</v>
      </c>
      <c r="J136" s="6">
        <f t="shared" si="32"/>
        <v>12.94597347641599</v>
      </c>
      <c r="K136" s="6">
        <f t="shared" si="32"/>
        <v>18.994582529729904</v>
      </c>
      <c r="L136" s="6">
        <f t="shared" si="32"/>
        <v>26.076480119282294</v>
      </c>
      <c r="M136" s="6">
        <f t="shared" si="32"/>
        <v>33.092206302200665</v>
      </c>
      <c r="N136" s="6">
        <f t="shared" si="32"/>
        <v>37.903915428286879</v>
      </c>
      <c r="O136" s="6">
        <f t="shared" si="32"/>
        <v>39.153042147997716</v>
      </c>
      <c r="P136" s="6">
        <f t="shared" si="32"/>
        <v>0</v>
      </c>
      <c r="Q136" s="6">
        <f t="shared" si="32"/>
        <v>0</v>
      </c>
      <c r="R136" s="6">
        <f t="shared" si="32"/>
        <v>0</v>
      </c>
      <c r="S136" s="6">
        <f t="shared" si="32"/>
        <v>0</v>
      </c>
      <c r="T136" s="6">
        <f t="shared" si="32"/>
        <v>0</v>
      </c>
      <c r="U136" s="6">
        <f t="shared" si="32"/>
        <v>0</v>
      </c>
      <c r="V136" s="6">
        <f t="shared" si="32"/>
        <v>0</v>
      </c>
      <c r="W136" s="6">
        <f t="shared" si="32"/>
        <v>0</v>
      </c>
      <c r="X136" s="6">
        <f t="shared" si="32"/>
        <v>0</v>
      </c>
      <c r="Y136" s="6">
        <f t="shared" si="32"/>
        <v>0</v>
      </c>
    </row>
    <row r="137" spans="1:25">
      <c r="C137" t="s">
        <v>89</v>
      </c>
      <c r="F137" s="6">
        <f>F105</f>
        <v>-0.25</v>
      </c>
      <c r="G137" s="6">
        <f t="shared" ref="G137:Y137" si="33">G105</f>
        <v>0.71249999999999947</v>
      </c>
      <c r="H137" s="6">
        <f t="shared" si="33"/>
        <v>1.0924999999999994</v>
      </c>
      <c r="I137" s="6">
        <f t="shared" si="33"/>
        <v>1.1798999999999991</v>
      </c>
      <c r="J137" s="6">
        <f t="shared" si="33"/>
        <v>1.1602350000000001</v>
      </c>
      <c r="K137" s="6">
        <f t="shared" si="33"/>
        <v>1.3342702499999994</v>
      </c>
      <c r="L137" s="6">
        <f t="shared" si="33"/>
        <v>1.0229405249999992</v>
      </c>
      <c r="M137" s="6">
        <f t="shared" si="33"/>
        <v>0.78766420425000128</v>
      </c>
      <c r="N137" s="6">
        <f t="shared" si="33"/>
        <v>0.36120029937749898</v>
      </c>
      <c r="O137" s="6">
        <f t="shared" si="33"/>
        <v>0.37203630835882606</v>
      </c>
      <c r="P137" s="6">
        <f t="shared" si="33"/>
        <v>0</v>
      </c>
      <c r="Q137" s="6">
        <f t="shared" si="33"/>
        <v>0</v>
      </c>
      <c r="R137" s="6">
        <f t="shared" si="33"/>
        <v>0</v>
      </c>
      <c r="S137" s="6">
        <f t="shared" si="33"/>
        <v>0</v>
      </c>
      <c r="T137" s="6">
        <f t="shared" si="33"/>
        <v>0</v>
      </c>
      <c r="U137" s="6">
        <f t="shared" si="33"/>
        <v>0</v>
      </c>
      <c r="V137" s="6">
        <f t="shared" si="33"/>
        <v>0</v>
      </c>
      <c r="W137" s="6">
        <f t="shared" si="33"/>
        <v>0</v>
      </c>
      <c r="X137" s="6">
        <f t="shared" si="33"/>
        <v>0</v>
      </c>
      <c r="Y137" s="6">
        <f t="shared" si="33"/>
        <v>0</v>
      </c>
    </row>
    <row r="138" spans="1:25">
      <c r="D138" s="7" t="s">
        <v>90</v>
      </c>
      <c r="E138" s="7"/>
      <c r="F138" s="8">
        <f>F135-F136-F137</f>
        <v>95.25</v>
      </c>
      <c r="G138" s="8">
        <f t="shared" ref="G138:Y138" si="34">G135-G136-G137</f>
        <v>108.53749999999998</v>
      </c>
      <c r="H138" s="8">
        <f t="shared" si="34"/>
        <v>126.14655399999998</v>
      </c>
      <c r="I138" s="8">
        <f t="shared" si="34"/>
        <v>145.15547026399994</v>
      </c>
      <c r="J138" s="8">
        <f t="shared" si="34"/>
        <v>163.79649152358397</v>
      </c>
      <c r="K138" s="8">
        <f t="shared" si="34"/>
        <v>184.25925222027001</v>
      </c>
      <c r="L138" s="8">
        <f t="shared" si="34"/>
        <v>197.94749485571762</v>
      </c>
      <c r="M138" s="8">
        <f t="shared" si="34"/>
        <v>206.92032907854929</v>
      </c>
      <c r="N138" s="8">
        <f t="shared" si="34"/>
        <v>209.75908984488555</v>
      </c>
      <c r="O138" s="8">
        <f t="shared" si="34"/>
        <v>215.9398532833699</v>
      </c>
      <c r="P138" s="8">
        <f t="shared" si="34"/>
        <v>0</v>
      </c>
      <c r="Q138" s="8">
        <f t="shared" si="34"/>
        <v>0</v>
      </c>
      <c r="R138" s="8">
        <f t="shared" si="34"/>
        <v>0</v>
      </c>
      <c r="S138" s="8">
        <f t="shared" si="34"/>
        <v>0</v>
      </c>
      <c r="T138" s="8">
        <f t="shared" si="34"/>
        <v>0</v>
      </c>
      <c r="U138" s="8">
        <f t="shared" si="34"/>
        <v>0</v>
      </c>
      <c r="V138" s="8">
        <f t="shared" si="34"/>
        <v>0</v>
      </c>
      <c r="W138" s="8">
        <f t="shared" si="34"/>
        <v>0</v>
      </c>
      <c r="X138" s="8">
        <f t="shared" si="34"/>
        <v>0</v>
      </c>
      <c r="Y138" s="8">
        <f t="shared" si="34"/>
        <v>0</v>
      </c>
    </row>
    <row r="139" spans="1:25">
      <c r="C139" t="s">
        <v>91</v>
      </c>
      <c r="F139" s="6">
        <f>F47</f>
        <v>20.399999999999999</v>
      </c>
      <c r="G139" s="6">
        <f t="shared" ref="G139:Y139" si="35">G47</f>
        <v>20.808</v>
      </c>
      <c r="H139" s="6">
        <f t="shared" si="35"/>
        <v>21.224159999999998</v>
      </c>
      <c r="I139" s="6">
        <f t="shared" si="35"/>
        <v>21.648643199999999</v>
      </c>
      <c r="J139" s="6">
        <f t="shared" si="35"/>
        <v>22.081616064000002</v>
      </c>
      <c r="K139" s="6">
        <f t="shared" si="35"/>
        <v>22.523248385280002</v>
      </c>
      <c r="L139" s="6">
        <f t="shared" si="35"/>
        <v>22.973713352985602</v>
      </c>
      <c r="M139" s="6">
        <f t="shared" si="35"/>
        <v>23.433187620045317</v>
      </c>
      <c r="N139" s="6">
        <f t="shared" si="35"/>
        <v>23.90185137244622</v>
      </c>
      <c r="O139" s="6">
        <f t="shared" si="35"/>
        <v>24.379888399895147</v>
      </c>
      <c r="P139" s="6">
        <f t="shared" si="35"/>
        <v>0</v>
      </c>
      <c r="Q139" s="6">
        <f t="shared" si="35"/>
        <v>0</v>
      </c>
      <c r="R139" s="6">
        <f t="shared" si="35"/>
        <v>0</v>
      </c>
      <c r="S139" s="6">
        <f t="shared" si="35"/>
        <v>0</v>
      </c>
      <c r="T139" s="6">
        <f t="shared" si="35"/>
        <v>0</v>
      </c>
      <c r="U139" s="6">
        <f t="shared" si="35"/>
        <v>0</v>
      </c>
      <c r="V139" s="6">
        <f t="shared" si="35"/>
        <v>0</v>
      </c>
      <c r="W139" s="6">
        <f t="shared" si="35"/>
        <v>0</v>
      </c>
      <c r="X139" s="6">
        <f t="shared" si="35"/>
        <v>0</v>
      </c>
      <c r="Y139" s="6">
        <f t="shared" si="35"/>
        <v>0</v>
      </c>
    </row>
    <row r="140" spans="1:25">
      <c r="C140" t="s">
        <v>92</v>
      </c>
      <c r="F140" s="6">
        <f>F50</f>
        <v>0</v>
      </c>
      <c r="G140" s="6">
        <f t="shared" ref="G140:Y140" si="36">G50</f>
        <v>0</v>
      </c>
      <c r="H140" s="6">
        <f t="shared" si="36"/>
        <v>0</v>
      </c>
      <c r="I140" s="6">
        <f t="shared" si="36"/>
        <v>0</v>
      </c>
      <c r="J140" s="6">
        <f t="shared" si="36"/>
        <v>0</v>
      </c>
      <c r="K140" s="6">
        <f t="shared" si="36"/>
        <v>0</v>
      </c>
      <c r="L140" s="6">
        <f t="shared" si="36"/>
        <v>0</v>
      </c>
      <c r="M140" s="6">
        <f t="shared" si="36"/>
        <v>0</v>
      </c>
      <c r="N140" s="6">
        <f t="shared" si="36"/>
        <v>0</v>
      </c>
      <c r="O140" s="6">
        <f t="shared" si="36"/>
        <v>2554.6493173972644</v>
      </c>
      <c r="P140" s="6">
        <f t="shared" si="36"/>
        <v>0</v>
      </c>
      <c r="Q140" s="6">
        <f t="shared" si="36"/>
        <v>0</v>
      </c>
      <c r="R140" s="6">
        <f t="shared" si="36"/>
        <v>0</v>
      </c>
      <c r="S140" s="6">
        <f t="shared" si="36"/>
        <v>0</v>
      </c>
      <c r="T140" s="6">
        <f t="shared" si="36"/>
        <v>0</v>
      </c>
      <c r="U140" s="6">
        <f t="shared" si="36"/>
        <v>0</v>
      </c>
      <c r="V140" s="6">
        <f t="shared" si="36"/>
        <v>0</v>
      </c>
      <c r="W140" s="6">
        <f t="shared" si="36"/>
        <v>0</v>
      </c>
      <c r="X140" s="6">
        <f t="shared" si="36"/>
        <v>0</v>
      </c>
      <c r="Y140" s="6">
        <f t="shared" si="36"/>
        <v>0</v>
      </c>
    </row>
    <row r="141" spans="1:25">
      <c r="D141" s="7" t="s">
        <v>93</v>
      </c>
      <c r="E141" s="7"/>
      <c r="F141" s="8">
        <f>F138-F139+F140</f>
        <v>74.849999999999994</v>
      </c>
      <c r="G141" s="8">
        <f t="shared" ref="G141:Y141" si="37">G138-G139+G140</f>
        <v>87.729499999999973</v>
      </c>
      <c r="H141" s="8">
        <f t="shared" si="37"/>
        <v>104.92239399999998</v>
      </c>
      <c r="I141" s="8">
        <f t="shared" si="37"/>
        <v>123.50682706399995</v>
      </c>
      <c r="J141" s="8">
        <f t="shared" si="37"/>
        <v>141.71487545958396</v>
      </c>
      <c r="K141" s="8">
        <f t="shared" si="37"/>
        <v>161.73600383499002</v>
      </c>
      <c r="L141" s="8">
        <f t="shared" si="37"/>
        <v>174.97378150273201</v>
      </c>
      <c r="M141" s="8">
        <f t="shared" si="37"/>
        <v>183.48714145850397</v>
      </c>
      <c r="N141" s="8">
        <f t="shared" si="37"/>
        <v>185.85723847243932</v>
      </c>
      <c r="O141" s="8">
        <f t="shared" si="37"/>
        <v>2746.209282280739</v>
      </c>
      <c r="P141" s="8">
        <f t="shared" si="37"/>
        <v>0</v>
      </c>
      <c r="Q141" s="8">
        <f t="shared" si="37"/>
        <v>0</v>
      </c>
      <c r="R141" s="8">
        <f t="shared" si="37"/>
        <v>0</v>
      </c>
      <c r="S141" s="8">
        <f t="shared" si="37"/>
        <v>0</v>
      </c>
      <c r="T141" s="8">
        <f t="shared" si="37"/>
        <v>0</v>
      </c>
      <c r="U141" s="8">
        <f t="shared" si="37"/>
        <v>0</v>
      </c>
      <c r="V141" s="8">
        <f t="shared" si="37"/>
        <v>0</v>
      </c>
      <c r="W141" s="8">
        <f t="shared" si="37"/>
        <v>0</v>
      </c>
      <c r="X141" s="8">
        <f t="shared" si="37"/>
        <v>0</v>
      </c>
      <c r="Y141" s="8">
        <f t="shared" si="37"/>
        <v>0</v>
      </c>
    </row>
    <row r="142" spans="1:25">
      <c r="C142" t="s">
        <v>94</v>
      </c>
      <c r="F142" s="6">
        <f>F89</f>
        <v>28.000000000000004</v>
      </c>
      <c r="G142" s="6">
        <f t="shared" ref="G142:Y142" si="38">G89</f>
        <v>24.720500000000001</v>
      </c>
      <c r="H142" s="6">
        <f t="shared" si="38"/>
        <v>20.309870000000004</v>
      </c>
      <c r="I142" s="6">
        <f t="shared" si="38"/>
        <v>14.386993320000004</v>
      </c>
      <c r="J142" s="6">
        <f t="shared" si="38"/>
        <v>6.7486049579200067</v>
      </c>
      <c r="K142" s="6">
        <f t="shared" si="38"/>
        <v>0</v>
      </c>
      <c r="L142" s="6">
        <f t="shared" si="38"/>
        <v>0</v>
      </c>
      <c r="M142" s="6">
        <f t="shared" si="38"/>
        <v>0</v>
      </c>
      <c r="N142" s="6">
        <f t="shared" si="38"/>
        <v>0</v>
      </c>
      <c r="O142" s="6">
        <f t="shared" si="38"/>
        <v>0</v>
      </c>
      <c r="P142" s="6">
        <f t="shared" si="38"/>
        <v>0</v>
      </c>
      <c r="Q142" s="6">
        <f t="shared" si="38"/>
        <v>0</v>
      </c>
      <c r="R142" s="6">
        <f t="shared" si="38"/>
        <v>0</v>
      </c>
      <c r="S142" s="6">
        <f t="shared" si="38"/>
        <v>0</v>
      </c>
      <c r="T142" s="6">
        <f t="shared" si="38"/>
        <v>0</v>
      </c>
      <c r="U142" s="6">
        <f t="shared" si="38"/>
        <v>0</v>
      </c>
      <c r="V142" s="6">
        <f t="shared" si="38"/>
        <v>0</v>
      </c>
      <c r="W142" s="6">
        <f t="shared" si="38"/>
        <v>0</v>
      </c>
      <c r="X142" s="6">
        <f t="shared" si="38"/>
        <v>0</v>
      </c>
      <c r="Y142" s="6">
        <f t="shared" si="38"/>
        <v>0</v>
      </c>
    </row>
    <row r="143" spans="1:25">
      <c r="D143" s="7" t="s">
        <v>95</v>
      </c>
      <c r="E143" s="7"/>
      <c r="F143" s="8">
        <f>F141-F142</f>
        <v>46.849999999999994</v>
      </c>
      <c r="G143" s="8">
        <f t="shared" ref="G143:Y143" si="39">G141-G142</f>
        <v>63.008999999999972</v>
      </c>
      <c r="H143" s="8">
        <f t="shared" si="39"/>
        <v>84.612523999999979</v>
      </c>
      <c r="I143" s="8">
        <f t="shared" si="39"/>
        <v>109.11983374399995</v>
      </c>
      <c r="J143" s="8">
        <f t="shared" si="39"/>
        <v>134.96627050166396</v>
      </c>
      <c r="K143" s="8">
        <f t="shared" si="39"/>
        <v>161.73600383499002</v>
      </c>
      <c r="L143" s="8">
        <f t="shared" si="39"/>
        <v>174.97378150273201</v>
      </c>
      <c r="M143" s="8">
        <f t="shared" si="39"/>
        <v>183.48714145850397</v>
      </c>
      <c r="N143" s="8">
        <f t="shared" si="39"/>
        <v>185.85723847243932</v>
      </c>
      <c r="O143" s="8">
        <f t="shared" si="39"/>
        <v>2746.209282280739</v>
      </c>
      <c r="P143" s="8">
        <f t="shared" si="39"/>
        <v>0</v>
      </c>
      <c r="Q143" s="8">
        <f t="shared" si="39"/>
        <v>0</v>
      </c>
      <c r="R143" s="8">
        <f t="shared" si="39"/>
        <v>0</v>
      </c>
      <c r="S143" s="8">
        <f t="shared" si="39"/>
        <v>0</v>
      </c>
      <c r="T143" s="8">
        <f t="shared" si="39"/>
        <v>0</v>
      </c>
      <c r="U143" s="8">
        <f t="shared" si="39"/>
        <v>0</v>
      </c>
      <c r="V143" s="8">
        <f t="shared" si="39"/>
        <v>0</v>
      </c>
      <c r="W143" s="8">
        <f t="shared" si="39"/>
        <v>0</v>
      </c>
      <c r="X143" s="8">
        <f t="shared" si="39"/>
        <v>0</v>
      </c>
      <c r="Y143" s="8">
        <f t="shared" si="39"/>
        <v>0</v>
      </c>
    </row>
    <row r="144" spans="1:25">
      <c r="C144" t="s">
        <v>96</v>
      </c>
      <c r="F144" s="6">
        <f>MIN(F143,F84)</f>
        <v>46.849999999999994</v>
      </c>
      <c r="G144" s="6">
        <f t="shared" ref="G144:Y144" si="40">MIN(G143,G84)</f>
        <v>63.008999999999972</v>
      </c>
      <c r="H144" s="6">
        <f t="shared" si="40"/>
        <v>84.612523999999979</v>
      </c>
      <c r="I144" s="6">
        <f t="shared" si="40"/>
        <v>109.11983374399995</v>
      </c>
      <c r="J144" s="6">
        <f t="shared" si="40"/>
        <v>96.408642256000093</v>
      </c>
      <c r="K144" s="6">
        <f t="shared" si="40"/>
        <v>0</v>
      </c>
      <c r="L144" s="6">
        <f t="shared" si="40"/>
        <v>0</v>
      </c>
      <c r="M144" s="6">
        <f t="shared" si="40"/>
        <v>0</v>
      </c>
      <c r="N144" s="6">
        <f t="shared" si="40"/>
        <v>0</v>
      </c>
      <c r="O144" s="6">
        <f t="shared" si="40"/>
        <v>0</v>
      </c>
      <c r="P144" s="6">
        <f t="shared" si="40"/>
        <v>0</v>
      </c>
      <c r="Q144" s="6">
        <f t="shared" si="40"/>
        <v>0</v>
      </c>
      <c r="R144" s="6">
        <f t="shared" si="40"/>
        <v>0</v>
      </c>
      <c r="S144" s="6">
        <f t="shared" si="40"/>
        <v>0</v>
      </c>
      <c r="T144" s="6">
        <f t="shared" si="40"/>
        <v>0</v>
      </c>
      <c r="U144" s="6">
        <f t="shared" si="40"/>
        <v>0</v>
      </c>
      <c r="V144" s="6">
        <f t="shared" si="40"/>
        <v>0</v>
      </c>
      <c r="W144" s="6">
        <f t="shared" si="40"/>
        <v>0</v>
      </c>
      <c r="X144" s="6">
        <f t="shared" si="40"/>
        <v>0</v>
      </c>
      <c r="Y144" s="6">
        <f t="shared" si="40"/>
        <v>0</v>
      </c>
    </row>
    <row r="145" spans="3:25">
      <c r="D145" s="7" t="s">
        <v>97</v>
      </c>
      <c r="E145" s="7"/>
      <c r="F145" s="8">
        <f>F143-F144</f>
        <v>0</v>
      </c>
      <c r="G145" s="8">
        <f t="shared" ref="G145:Y145" si="41">G143-G144</f>
        <v>0</v>
      </c>
      <c r="H145" s="8">
        <f t="shared" si="41"/>
        <v>0</v>
      </c>
      <c r="I145" s="8">
        <f t="shared" si="41"/>
        <v>0</v>
      </c>
      <c r="J145" s="8">
        <f t="shared" si="41"/>
        <v>38.557628245663864</v>
      </c>
      <c r="K145" s="8">
        <f t="shared" si="41"/>
        <v>161.73600383499002</v>
      </c>
      <c r="L145" s="8">
        <f t="shared" si="41"/>
        <v>174.97378150273201</v>
      </c>
      <c r="M145" s="8">
        <f t="shared" si="41"/>
        <v>183.48714145850397</v>
      </c>
      <c r="N145" s="8">
        <f t="shared" si="41"/>
        <v>185.85723847243932</v>
      </c>
      <c r="O145" s="8">
        <f t="shared" si="41"/>
        <v>2746.209282280739</v>
      </c>
      <c r="P145" s="8">
        <f t="shared" si="41"/>
        <v>0</v>
      </c>
      <c r="Q145" s="8">
        <f t="shared" si="41"/>
        <v>0</v>
      </c>
      <c r="R145" s="8">
        <f t="shared" si="41"/>
        <v>0</v>
      </c>
      <c r="S145" s="8">
        <f t="shared" si="41"/>
        <v>0</v>
      </c>
      <c r="T145" s="8">
        <f t="shared" si="41"/>
        <v>0</v>
      </c>
      <c r="U145" s="8">
        <f t="shared" si="41"/>
        <v>0</v>
      </c>
      <c r="V145" s="8">
        <f t="shared" si="41"/>
        <v>0</v>
      </c>
      <c r="W145" s="8">
        <f t="shared" si="41"/>
        <v>0</v>
      </c>
      <c r="X145" s="8">
        <f t="shared" si="41"/>
        <v>0</v>
      </c>
      <c r="Y145" s="8">
        <f t="shared" si="41"/>
        <v>0</v>
      </c>
    </row>
    <row r="146" spans="3:25">
      <c r="C146" t="s">
        <v>98</v>
      </c>
      <c r="F146" s="6">
        <f>F97</f>
        <v>30</v>
      </c>
      <c r="G146" s="6">
        <f t="shared" ref="G146:Y146" si="42">G97</f>
        <v>34.5</v>
      </c>
      <c r="H146" s="6">
        <f t="shared" si="42"/>
        <v>39.674999999999997</v>
      </c>
      <c r="I146" s="6">
        <f t="shared" si="42"/>
        <v>45.626249999999999</v>
      </c>
      <c r="J146" s="6">
        <f t="shared" si="42"/>
        <v>52.470187499999994</v>
      </c>
      <c r="K146" s="6">
        <f t="shared" si="42"/>
        <v>54.557071388150419</v>
      </c>
      <c r="L146" s="6">
        <f t="shared" si="42"/>
        <v>38.480231521124473</v>
      </c>
      <c r="M146" s="6">
        <f t="shared" si="42"/>
        <v>18.006199023883344</v>
      </c>
      <c r="N146" s="6">
        <f t="shared" si="42"/>
        <v>0</v>
      </c>
      <c r="O146" s="6">
        <f t="shared" si="42"/>
        <v>0</v>
      </c>
      <c r="P146" s="6">
        <f t="shared" si="42"/>
        <v>0</v>
      </c>
      <c r="Q146" s="6">
        <f t="shared" si="42"/>
        <v>0</v>
      </c>
      <c r="R146" s="6">
        <f t="shared" si="42"/>
        <v>0</v>
      </c>
      <c r="S146" s="6">
        <f t="shared" si="42"/>
        <v>0</v>
      </c>
      <c r="T146" s="6">
        <f t="shared" si="42"/>
        <v>0</v>
      </c>
      <c r="U146" s="6">
        <f t="shared" si="42"/>
        <v>0</v>
      </c>
      <c r="V146" s="6">
        <f t="shared" si="42"/>
        <v>0</v>
      </c>
      <c r="W146" s="6">
        <f t="shared" si="42"/>
        <v>0</v>
      </c>
      <c r="X146" s="6">
        <f t="shared" si="42"/>
        <v>0</v>
      </c>
      <c r="Y146" s="6">
        <f t="shared" si="42"/>
        <v>0</v>
      </c>
    </row>
    <row r="147" spans="3:25">
      <c r="D147" s="7" t="s">
        <v>99</v>
      </c>
      <c r="E147" s="7"/>
      <c r="F147" s="8">
        <f>F145-F146</f>
        <v>-30</v>
      </c>
      <c r="G147" s="8">
        <f t="shared" ref="G147:Y147" si="43">G145-G146</f>
        <v>-34.5</v>
      </c>
      <c r="H147" s="8">
        <f t="shared" si="43"/>
        <v>-39.674999999999997</v>
      </c>
      <c r="I147" s="8">
        <f t="shared" si="43"/>
        <v>-45.626249999999999</v>
      </c>
      <c r="J147" s="8">
        <f t="shared" si="43"/>
        <v>-13.912559254336131</v>
      </c>
      <c r="K147" s="8">
        <f t="shared" si="43"/>
        <v>107.1789324468396</v>
      </c>
      <c r="L147" s="8">
        <f t="shared" si="43"/>
        <v>136.49354998160754</v>
      </c>
      <c r="M147" s="8">
        <f t="shared" si="43"/>
        <v>165.48094243462063</v>
      </c>
      <c r="N147" s="8">
        <f t="shared" si="43"/>
        <v>185.85723847243932</v>
      </c>
      <c r="O147" s="8">
        <f t="shared" si="43"/>
        <v>2746.209282280739</v>
      </c>
      <c r="P147" s="8">
        <f t="shared" si="43"/>
        <v>0</v>
      </c>
      <c r="Q147" s="8">
        <f t="shared" si="43"/>
        <v>0</v>
      </c>
      <c r="R147" s="8">
        <f t="shared" si="43"/>
        <v>0</v>
      </c>
      <c r="S147" s="8">
        <f t="shared" si="43"/>
        <v>0</v>
      </c>
      <c r="T147" s="8">
        <f t="shared" si="43"/>
        <v>0</v>
      </c>
      <c r="U147" s="8">
        <f t="shared" si="43"/>
        <v>0</v>
      </c>
      <c r="V147" s="8">
        <f t="shared" si="43"/>
        <v>0</v>
      </c>
      <c r="W147" s="8">
        <f t="shared" si="43"/>
        <v>0</v>
      </c>
      <c r="X147" s="8">
        <f t="shared" si="43"/>
        <v>0</v>
      </c>
      <c r="Y147" s="8">
        <f t="shared" si="43"/>
        <v>0</v>
      </c>
    </row>
    <row r="148" spans="3:25">
      <c r="C148" t="s">
        <v>100</v>
      </c>
      <c r="F148" s="6">
        <f>MIN(F147,F92)</f>
        <v>-30</v>
      </c>
      <c r="G148" s="6">
        <f t="shared" ref="G148:Y148" si="44">MIN(G147,G92)</f>
        <v>-34.5</v>
      </c>
      <c r="H148" s="6">
        <f t="shared" si="44"/>
        <v>-39.674999999999997</v>
      </c>
      <c r="I148" s="6">
        <f t="shared" si="44"/>
        <v>-45.626249999999999</v>
      </c>
      <c r="J148" s="6">
        <f t="shared" si="44"/>
        <v>-13.912559254336131</v>
      </c>
      <c r="K148" s="6">
        <f t="shared" si="44"/>
        <v>107.1789324468396</v>
      </c>
      <c r="L148" s="6">
        <f t="shared" si="44"/>
        <v>136.49354998160754</v>
      </c>
      <c r="M148" s="6">
        <f t="shared" si="44"/>
        <v>120.04132682588897</v>
      </c>
      <c r="N148" s="6">
        <f t="shared" si="44"/>
        <v>0</v>
      </c>
      <c r="O148" s="6">
        <f t="shared" si="44"/>
        <v>0</v>
      </c>
      <c r="P148" s="6">
        <f t="shared" si="44"/>
        <v>0</v>
      </c>
      <c r="Q148" s="6">
        <f t="shared" si="44"/>
        <v>0</v>
      </c>
      <c r="R148" s="6">
        <f t="shared" si="44"/>
        <v>0</v>
      </c>
      <c r="S148" s="6">
        <f t="shared" si="44"/>
        <v>0</v>
      </c>
      <c r="T148" s="6">
        <f t="shared" si="44"/>
        <v>0</v>
      </c>
      <c r="U148" s="6">
        <f t="shared" si="44"/>
        <v>0</v>
      </c>
      <c r="V148" s="6">
        <f t="shared" si="44"/>
        <v>0</v>
      </c>
      <c r="W148" s="6">
        <f t="shared" si="44"/>
        <v>0</v>
      </c>
      <c r="X148" s="6">
        <f t="shared" si="44"/>
        <v>0</v>
      </c>
      <c r="Y148" s="6">
        <f t="shared" si="44"/>
        <v>0</v>
      </c>
    </row>
    <row r="149" spans="3:25">
      <c r="D149" t="s">
        <v>101</v>
      </c>
      <c r="F149" s="6">
        <f>F147-F148</f>
        <v>0</v>
      </c>
      <c r="G149" s="6">
        <f t="shared" ref="G149:Y149" si="45">G147-G148</f>
        <v>0</v>
      </c>
      <c r="H149" s="6">
        <f t="shared" si="45"/>
        <v>0</v>
      </c>
      <c r="I149" s="6">
        <f t="shared" si="45"/>
        <v>0</v>
      </c>
      <c r="J149" s="6">
        <f t="shared" si="45"/>
        <v>0</v>
      </c>
      <c r="K149" s="6">
        <f t="shared" si="45"/>
        <v>0</v>
      </c>
      <c r="L149" s="6">
        <f t="shared" si="45"/>
        <v>0</v>
      </c>
      <c r="M149" s="6">
        <f t="shared" si="45"/>
        <v>45.439615608731657</v>
      </c>
      <c r="N149" s="6">
        <f t="shared" si="45"/>
        <v>185.85723847243932</v>
      </c>
      <c r="O149" s="6">
        <f t="shared" si="45"/>
        <v>2746.209282280739</v>
      </c>
      <c r="P149" s="6">
        <f t="shared" si="45"/>
        <v>0</v>
      </c>
      <c r="Q149" s="6">
        <f t="shared" si="45"/>
        <v>0</v>
      </c>
      <c r="R149" s="6">
        <f t="shared" si="45"/>
        <v>0</v>
      </c>
      <c r="S149" s="6">
        <f t="shared" si="45"/>
        <v>0</v>
      </c>
      <c r="T149" s="6">
        <f t="shared" si="45"/>
        <v>0</v>
      </c>
      <c r="U149" s="6">
        <f t="shared" si="45"/>
        <v>0</v>
      </c>
      <c r="V149" s="6">
        <f t="shared" si="45"/>
        <v>0</v>
      </c>
      <c r="W149" s="6">
        <f t="shared" si="45"/>
        <v>0</v>
      </c>
      <c r="X149" s="6">
        <f t="shared" si="45"/>
        <v>0</v>
      </c>
      <c r="Y149" s="6">
        <f t="shared" si="45"/>
        <v>0</v>
      </c>
    </row>
    <row r="151" spans="3:25">
      <c r="C151" t="s">
        <v>102</v>
      </c>
      <c r="E151">
        <f>-E60</f>
        <v>-400</v>
      </c>
      <c r="F151" s="4">
        <f>F149</f>
        <v>0</v>
      </c>
      <c r="G151" s="4">
        <f t="shared" ref="G151:Y151" si="46">G149</f>
        <v>0</v>
      </c>
      <c r="H151" s="4">
        <f t="shared" si="46"/>
        <v>0</v>
      </c>
      <c r="I151" s="4">
        <f t="shared" si="46"/>
        <v>0</v>
      </c>
      <c r="J151" s="4">
        <f t="shared" si="46"/>
        <v>0</v>
      </c>
      <c r="K151" s="4">
        <f t="shared" si="46"/>
        <v>0</v>
      </c>
      <c r="L151" s="4">
        <f t="shared" si="46"/>
        <v>0</v>
      </c>
      <c r="M151" s="4">
        <f t="shared" si="46"/>
        <v>45.439615608731657</v>
      </c>
      <c r="N151" s="4">
        <f t="shared" si="46"/>
        <v>185.85723847243932</v>
      </c>
      <c r="O151" s="4">
        <f t="shared" si="46"/>
        <v>2746.209282280739</v>
      </c>
      <c r="P151" s="4">
        <f t="shared" si="46"/>
        <v>0</v>
      </c>
      <c r="Q151" s="4">
        <f t="shared" si="46"/>
        <v>0</v>
      </c>
      <c r="R151" s="4">
        <f t="shared" si="46"/>
        <v>0</v>
      </c>
      <c r="S151" s="4">
        <f t="shared" si="46"/>
        <v>0</v>
      </c>
      <c r="T151" s="4">
        <f t="shared" si="46"/>
        <v>0</v>
      </c>
      <c r="U151" s="4">
        <f t="shared" si="46"/>
        <v>0</v>
      </c>
      <c r="V151" s="4">
        <f t="shared" si="46"/>
        <v>0</v>
      </c>
      <c r="W151" s="4">
        <f t="shared" si="46"/>
        <v>0</v>
      </c>
      <c r="X151" s="4">
        <f t="shared" si="46"/>
        <v>0</v>
      </c>
      <c r="Y151" s="4">
        <f t="shared" si="46"/>
        <v>0</v>
      </c>
    </row>
    <row r="153" spans="3:25">
      <c r="C153" t="s">
        <v>4</v>
      </c>
      <c r="E153" s="1">
        <f>IRR(E151:Y151)</f>
        <v>0.22492824372640804</v>
      </c>
    </row>
    <row r="155" spans="3:25">
      <c r="C155" t="s">
        <v>103</v>
      </c>
    </row>
    <row r="157" spans="3:25">
      <c r="C157" t="s">
        <v>104</v>
      </c>
    </row>
    <row r="159" spans="3:25">
      <c r="C159" t="s">
        <v>105</v>
      </c>
    </row>
    <row r="161" spans="3:4">
      <c r="C161" t="s">
        <v>106</v>
      </c>
    </row>
    <row r="165" spans="3:4">
      <c r="C165" t="s">
        <v>59</v>
      </c>
    </row>
    <row r="166" spans="3:4">
      <c r="D166" t="s">
        <v>60</v>
      </c>
    </row>
    <row r="167" spans="3:4">
      <c r="D167" t="s">
        <v>61</v>
      </c>
    </row>
    <row r="168" spans="3:4">
      <c r="D168" t="s">
        <v>62</v>
      </c>
    </row>
    <row r="169" spans="3:4">
      <c r="D169" t="s">
        <v>56</v>
      </c>
    </row>
    <row r="171" spans="3:4">
      <c r="C171" t="s">
        <v>63</v>
      </c>
    </row>
    <row r="172" spans="3:4">
      <c r="D172" t="s">
        <v>53</v>
      </c>
    </row>
    <row r="173" spans="3:4">
      <c r="D173" t="s">
        <v>54</v>
      </c>
    </row>
    <row r="174" spans="3:4">
      <c r="D174" t="s">
        <v>55</v>
      </c>
    </row>
    <row r="175" spans="3:4">
      <c r="D175" t="s">
        <v>56</v>
      </c>
    </row>
    <row r="177" spans="1:10">
      <c r="D177" t="s">
        <v>57</v>
      </c>
    </row>
    <row r="179" spans="1:10">
      <c r="A179" t="s">
        <v>107</v>
      </c>
    </row>
    <row r="181" spans="1:10" ht="45">
      <c r="D181" t="s">
        <v>108</v>
      </c>
      <c r="E181" s="9" t="s">
        <v>109</v>
      </c>
      <c r="G181" s="1">
        <f>EBITDA_Sensitivity_Factor</f>
        <v>1</v>
      </c>
      <c r="H181" t="s">
        <v>110</v>
      </c>
      <c r="J181">
        <f>Senior_Debt_EBITDA</f>
        <v>4</v>
      </c>
    </row>
    <row r="183" spans="1:10">
      <c r="F183" t="s">
        <v>111</v>
      </c>
      <c r="G183">
        <f>Senior_Debt_EBITDA</f>
        <v>4</v>
      </c>
    </row>
    <row r="185" spans="1:10">
      <c r="F185" t="s">
        <v>36</v>
      </c>
      <c r="G185">
        <f>MATCH(0,G191:G241,0)</f>
        <v>12</v>
      </c>
      <c r="H185" t="e">
        <f ca="1">f(G185)</f>
        <v>#NAME?</v>
      </c>
    </row>
    <row r="186" spans="1:10">
      <c r="F186" t="s">
        <v>112</v>
      </c>
      <c r="G186" s="1">
        <f>INDEX(F191:F241,G185)</f>
        <v>0.21999999999999997</v>
      </c>
    </row>
    <row r="189" spans="1:10">
      <c r="G189" t="s">
        <v>108</v>
      </c>
    </row>
    <row r="190" spans="1:10">
      <c r="G190">
        <f>Y86</f>
        <v>0</v>
      </c>
    </row>
    <row r="191" spans="1:10">
      <c r="F191" s="1">
        <v>0</v>
      </c>
      <c r="G191">
        <v>2130.2602246626579</v>
      </c>
    </row>
    <row r="192" spans="1:10">
      <c r="F192" s="2">
        <f>F191+2%</f>
        <v>0.02</v>
      </c>
      <c r="G192">
        <v>1936.3051111764564</v>
      </c>
    </row>
    <row r="193" spans="5:7">
      <c r="F193" s="2">
        <f t="shared" ref="F193:F256" si="47">F192+2%</f>
        <v>0.04</v>
      </c>
      <c r="G193">
        <v>1742.3499976902556</v>
      </c>
    </row>
    <row r="194" spans="5:7">
      <c r="F194" s="2">
        <f t="shared" si="47"/>
        <v>0.06</v>
      </c>
      <c r="G194">
        <v>1548.3948842040541</v>
      </c>
    </row>
    <row r="195" spans="5:7">
      <c r="F195" s="2">
        <f t="shared" si="47"/>
        <v>0.08</v>
      </c>
      <c r="G195">
        <v>1354.4397707178532</v>
      </c>
    </row>
    <row r="196" spans="5:7">
      <c r="E196" t="s">
        <v>24</v>
      </c>
      <c r="F196" s="2">
        <f t="shared" si="47"/>
        <v>0.1</v>
      </c>
      <c r="G196">
        <v>1160.4846572316512</v>
      </c>
    </row>
    <row r="197" spans="5:7">
      <c r="F197" s="2">
        <f t="shared" si="47"/>
        <v>0.12000000000000001</v>
      </c>
      <c r="G197">
        <v>966.5295437454505</v>
      </c>
    </row>
    <row r="198" spans="5:7">
      <c r="F198" s="2">
        <f t="shared" si="47"/>
        <v>0.14000000000000001</v>
      </c>
      <c r="G198">
        <v>772.57443025924874</v>
      </c>
    </row>
    <row r="199" spans="5:7">
      <c r="E199" t="s">
        <v>113</v>
      </c>
      <c r="F199" s="2">
        <f t="shared" si="47"/>
        <v>0.16</v>
      </c>
      <c r="G199">
        <v>578.61931677304767</v>
      </c>
    </row>
    <row r="200" spans="5:7">
      <c r="F200" s="2">
        <f t="shared" si="47"/>
        <v>0.18</v>
      </c>
      <c r="G200">
        <v>384.66420328684677</v>
      </c>
    </row>
    <row r="201" spans="5:7">
      <c r="F201" s="2">
        <f t="shared" si="47"/>
        <v>0.19999999999999998</v>
      </c>
      <c r="G201">
        <v>190.70908980064536</v>
      </c>
    </row>
    <row r="202" spans="5:7">
      <c r="F202" s="2">
        <f t="shared" si="47"/>
        <v>0.21999999999999997</v>
      </c>
      <c r="G202">
        <v>0</v>
      </c>
    </row>
    <row r="203" spans="5:7">
      <c r="F203" s="2">
        <f t="shared" si="47"/>
        <v>0.23999999999999996</v>
      </c>
      <c r="G203">
        <v>0</v>
      </c>
    </row>
    <row r="204" spans="5:7">
      <c r="F204" s="2">
        <f t="shared" si="47"/>
        <v>0.25999999999999995</v>
      </c>
      <c r="G204">
        <v>0</v>
      </c>
    </row>
    <row r="205" spans="5:7">
      <c r="F205" s="2">
        <f t="shared" si="47"/>
        <v>0.27999999999999997</v>
      </c>
      <c r="G205">
        <v>0</v>
      </c>
    </row>
    <row r="206" spans="5:7">
      <c r="F206" s="2">
        <f t="shared" si="47"/>
        <v>0.3</v>
      </c>
      <c r="G206">
        <v>0</v>
      </c>
    </row>
    <row r="207" spans="5:7">
      <c r="F207" s="2">
        <f t="shared" si="47"/>
        <v>0.32</v>
      </c>
      <c r="G207">
        <v>0</v>
      </c>
    </row>
    <row r="208" spans="5:7">
      <c r="F208" s="2">
        <f t="shared" si="47"/>
        <v>0.34</v>
      </c>
      <c r="G208">
        <v>0</v>
      </c>
    </row>
    <row r="209" spans="6:7">
      <c r="F209" s="2">
        <f t="shared" si="47"/>
        <v>0.36000000000000004</v>
      </c>
      <c r="G209">
        <v>0</v>
      </c>
    </row>
    <row r="210" spans="6:7">
      <c r="F210" s="2">
        <f t="shared" si="47"/>
        <v>0.38000000000000006</v>
      </c>
      <c r="G210">
        <v>0</v>
      </c>
    </row>
    <row r="211" spans="6:7">
      <c r="F211" s="2">
        <f t="shared" si="47"/>
        <v>0.40000000000000008</v>
      </c>
      <c r="G211">
        <v>0</v>
      </c>
    </row>
    <row r="212" spans="6:7">
      <c r="F212" s="2">
        <f t="shared" si="47"/>
        <v>0.4200000000000001</v>
      </c>
      <c r="G212">
        <v>0</v>
      </c>
    </row>
    <row r="213" spans="6:7">
      <c r="F213" s="2">
        <f t="shared" si="47"/>
        <v>0.44000000000000011</v>
      </c>
      <c r="G213">
        <v>0</v>
      </c>
    </row>
    <row r="214" spans="6:7">
      <c r="F214" s="2">
        <f t="shared" si="47"/>
        <v>0.46000000000000013</v>
      </c>
      <c r="G214">
        <v>0</v>
      </c>
    </row>
    <row r="215" spans="6:7">
      <c r="F215" s="2">
        <f t="shared" si="47"/>
        <v>0.48000000000000015</v>
      </c>
      <c r="G215">
        <v>0</v>
      </c>
    </row>
    <row r="216" spans="6:7">
      <c r="F216" s="2">
        <f t="shared" si="47"/>
        <v>0.50000000000000011</v>
      </c>
      <c r="G216">
        <v>0</v>
      </c>
    </row>
    <row r="217" spans="6:7">
      <c r="F217" s="2">
        <f t="shared" si="47"/>
        <v>0.52000000000000013</v>
      </c>
      <c r="G217">
        <v>0</v>
      </c>
    </row>
    <row r="218" spans="6:7">
      <c r="F218" s="2">
        <f t="shared" si="47"/>
        <v>0.54000000000000015</v>
      </c>
      <c r="G218">
        <v>0</v>
      </c>
    </row>
    <row r="219" spans="6:7">
      <c r="F219" s="2">
        <f t="shared" si="47"/>
        <v>0.56000000000000016</v>
      </c>
      <c r="G219">
        <v>0</v>
      </c>
    </row>
    <row r="220" spans="6:7">
      <c r="F220" s="2">
        <f t="shared" si="47"/>
        <v>0.58000000000000018</v>
      </c>
      <c r="G220">
        <v>0</v>
      </c>
    </row>
    <row r="221" spans="6:7">
      <c r="F221" s="2">
        <f t="shared" si="47"/>
        <v>0.6000000000000002</v>
      </c>
      <c r="G221">
        <v>0</v>
      </c>
    </row>
    <row r="222" spans="6:7">
      <c r="F222" s="2">
        <f t="shared" si="47"/>
        <v>0.62000000000000022</v>
      </c>
      <c r="G222">
        <v>0</v>
      </c>
    </row>
    <row r="223" spans="6:7">
      <c r="F223" s="2">
        <f t="shared" si="47"/>
        <v>0.64000000000000024</v>
      </c>
      <c r="G223">
        <v>0</v>
      </c>
    </row>
    <row r="224" spans="6:7">
      <c r="F224" s="2">
        <f t="shared" si="47"/>
        <v>0.66000000000000025</v>
      </c>
      <c r="G224">
        <v>0</v>
      </c>
    </row>
    <row r="225" spans="6:7">
      <c r="F225" s="2">
        <f t="shared" si="47"/>
        <v>0.68000000000000027</v>
      </c>
      <c r="G225">
        <v>0</v>
      </c>
    </row>
    <row r="226" spans="6:7">
      <c r="F226" s="2">
        <f t="shared" si="47"/>
        <v>0.70000000000000029</v>
      </c>
      <c r="G226">
        <v>0</v>
      </c>
    </row>
    <row r="227" spans="6:7">
      <c r="F227" s="2">
        <f t="shared" si="47"/>
        <v>0.72000000000000031</v>
      </c>
      <c r="G227">
        <v>0</v>
      </c>
    </row>
    <row r="228" spans="6:7">
      <c r="F228" s="2">
        <f t="shared" si="47"/>
        <v>0.74000000000000032</v>
      </c>
      <c r="G228">
        <v>0</v>
      </c>
    </row>
    <row r="229" spans="6:7">
      <c r="F229" s="2">
        <f t="shared" si="47"/>
        <v>0.76000000000000034</v>
      </c>
      <c r="G229">
        <v>0</v>
      </c>
    </row>
    <row r="230" spans="6:7">
      <c r="F230" s="2">
        <f t="shared" si="47"/>
        <v>0.78000000000000036</v>
      </c>
      <c r="G230">
        <v>0</v>
      </c>
    </row>
    <row r="231" spans="6:7">
      <c r="F231" s="2">
        <f t="shared" si="47"/>
        <v>0.80000000000000038</v>
      </c>
      <c r="G231">
        <v>0</v>
      </c>
    </row>
    <row r="232" spans="6:7">
      <c r="F232" s="2">
        <f t="shared" si="47"/>
        <v>0.8200000000000004</v>
      </c>
      <c r="G232">
        <v>0</v>
      </c>
    </row>
    <row r="233" spans="6:7">
      <c r="F233" s="2">
        <f t="shared" si="47"/>
        <v>0.84000000000000041</v>
      </c>
      <c r="G233">
        <v>0</v>
      </c>
    </row>
    <row r="234" spans="6:7">
      <c r="F234" s="2">
        <f t="shared" si="47"/>
        <v>0.86000000000000043</v>
      </c>
      <c r="G234">
        <v>0</v>
      </c>
    </row>
    <row r="235" spans="6:7">
      <c r="F235" s="2">
        <f t="shared" si="47"/>
        <v>0.88000000000000045</v>
      </c>
      <c r="G235">
        <v>0</v>
      </c>
    </row>
    <row r="236" spans="6:7">
      <c r="F236" s="2">
        <f t="shared" si="47"/>
        <v>0.90000000000000047</v>
      </c>
      <c r="G236">
        <v>0</v>
      </c>
    </row>
    <row r="237" spans="6:7">
      <c r="F237" s="2">
        <f t="shared" si="47"/>
        <v>0.92000000000000048</v>
      </c>
      <c r="G237">
        <v>0</v>
      </c>
    </row>
    <row r="238" spans="6:7">
      <c r="F238" s="2">
        <f t="shared" si="47"/>
        <v>0.9400000000000005</v>
      </c>
      <c r="G238">
        <v>0</v>
      </c>
    </row>
    <row r="239" spans="6:7">
      <c r="F239" s="2">
        <f t="shared" si="47"/>
        <v>0.96000000000000052</v>
      </c>
      <c r="G239">
        <v>0</v>
      </c>
    </row>
    <row r="240" spans="6:7">
      <c r="F240" s="2">
        <f t="shared" si="47"/>
        <v>0.98000000000000054</v>
      </c>
      <c r="G240">
        <v>0</v>
      </c>
    </row>
    <row r="241" spans="6:7">
      <c r="F241" s="2">
        <f t="shared" si="47"/>
        <v>1.0000000000000004</v>
      </c>
      <c r="G241">
        <v>0</v>
      </c>
    </row>
    <row r="242" spans="6:7">
      <c r="F242" s="2"/>
    </row>
    <row r="243" spans="6:7">
      <c r="F243" s="2"/>
    </row>
    <row r="244" spans="6:7">
      <c r="F244" s="2"/>
    </row>
    <row r="245" spans="6:7">
      <c r="F245" s="2"/>
    </row>
    <row r="246" spans="6:7">
      <c r="F246" s="2"/>
    </row>
    <row r="247" spans="6:7">
      <c r="F247" s="2"/>
    </row>
    <row r="248" spans="6:7">
      <c r="F248" s="2"/>
    </row>
    <row r="249" spans="6:7">
      <c r="F249" s="2"/>
    </row>
    <row r="250" spans="6:7">
      <c r="F250" s="2"/>
    </row>
    <row r="251" spans="6:7">
      <c r="F251" s="2"/>
    </row>
    <row r="252" spans="6:7">
      <c r="F252" s="2"/>
    </row>
    <row r="253" spans="6:7">
      <c r="F253" s="2"/>
    </row>
    <row r="254" spans="6:7">
      <c r="F254" s="2"/>
    </row>
    <row r="255" spans="6:7">
      <c r="F255" s="2"/>
    </row>
    <row r="256" spans="6:7">
      <c r="F256" s="2"/>
    </row>
    <row r="257" spans="6:6">
      <c r="F257" s="2"/>
    </row>
    <row r="258" spans="6:6">
      <c r="F258" s="2"/>
    </row>
    <row r="259" spans="6:6">
      <c r="F259" s="2"/>
    </row>
    <row r="260" spans="6:6">
      <c r="F260" s="2"/>
    </row>
    <row r="261" spans="6:6">
      <c r="F261" s="2"/>
    </row>
    <row r="262" spans="6:6">
      <c r="F262" s="2"/>
    </row>
    <row r="263" spans="6:6">
      <c r="F263" s="2"/>
    </row>
    <row r="264" spans="6:6">
      <c r="F264" s="2"/>
    </row>
    <row r="265" spans="6:6">
      <c r="F265" s="2"/>
    </row>
    <row r="266" spans="6:6">
      <c r="F266" s="2"/>
    </row>
    <row r="267" spans="6:6">
      <c r="F267" s="2"/>
    </row>
    <row r="268" spans="6:6">
      <c r="F268" s="2"/>
    </row>
    <row r="269" spans="6:6">
      <c r="F269" s="2"/>
    </row>
    <row r="270" spans="6:6">
      <c r="F270" s="2"/>
    </row>
    <row r="271" spans="6:6">
      <c r="F271" s="2"/>
    </row>
    <row r="272" spans="6:6">
      <c r="F272" s="2"/>
    </row>
    <row r="273" spans="6:6">
      <c r="F273" s="2"/>
    </row>
    <row r="274" spans="6:6">
      <c r="F274" s="2"/>
    </row>
    <row r="275" spans="6:6">
      <c r="F275" s="2"/>
    </row>
    <row r="276" spans="6:6">
      <c r="F276" s="2"/>
    </row>
    <row r="277" spans="6:6">
      <c r="F277" s="2"/>
    </row>
    <row r="278" spans="6:6">
      <c r="F278" s="2"/>
    </row>
    <row r="279" spans="6:6">
      <c r="F279" s="2"/>
    </row>
    <row r="280" spans="6:6">
      <c r="F280" s="2"/>
    </row>
    <row r="281" spans="6:6">
      <c r="F281" s="2"/>
    </row>
    <row r="282" spans="6:6">
      <c r="F282" s="2"/>
    </row>
    <row r="283" spans="6:6">
      <c r="F283" s="2"/>
    </row>
    <row r="284" spans="6:6">
      <c r="F284" s="2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14</vt:i4>
      </vt:variant>
    </vt:vector>
  </HeadingPairs>
  <TitlesOfParts>
    <vt:vector size="17" baseType="lpstr">
      <vt:lpstr>Sheet1</vt:lpstr>
      <vt:lpstr>Sheet2</vt:lpstr>
      <vt:lpstr>Sheet3</vt:lpstr>
      <vt:lpstr>Sheet1!Cap_Exp</vt:lpstr>
      <vt:lpstr>Dep_Rate</vt:lpstr>
      <vt:lpstr>EBITDA</vt:lpstr>
      <vt:lpstr>EBITDA_Sensitivity_Factor</vt:lpstr>
      <vt:lpstr>EV_EBITDA</vt:lpstr>
      <vt:lpstr>Exit_EV_EBITDA</vt:lpstr>
      <vt:lpstr>Growth_in_Cap_Exp</vt:lpstr>
      <vt:lpstr>Holding_Period</vt:lpstr>
      <vt:lpstr>Interest_Rate_on_Senior_Debt</vt:lpstr>
      <vt:lpstr>Interest_Rate_on_Sub_Debt</vt:lpstr>
      <vt:lpstr>Senior_Debt_EBITDA</vt:lpstr>
      <vt:lpstr>Sub_Debt_EBITDA</vt:lpstr>
      <vt:lpstr>Sheet1!Tax_Rate</vt:lpstr>
      <vt:lpstr>Working_Capital_to_EBITDA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Nelson Mandela</dc:creator>
  <cp:lastModifiedBy>Nelson Mandela</cp:lastModifiedBy>
  <dcterms:created xsi:type="dcterms:W3CDTF">2011-02-23T17:17:47Z</dcterms:created>
  <dcterms:modified xsi:type="dcterms:W3CDTF">2011-02-23T17:18:58Z</dcterms:modified>
</cp:coreProperties>
</file>